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optiplex\Desktop\"/>
    </mc:Choice>
  </mc:AlternateContent>
  <bookViews>
    <workbookView xWindow="360" yWindow="330" windowWidth="9180" windowHeight="4305"/>
  </bookViews>
  <sheets>
    <sheet name="Test στη χημική ισορροπία" sheetId="1" r:id="rId1"/>
  </sheets>
  <calcPr calcId="152511"/>
</workbook>
</file>

<file path=xl/calcChain.xml><?xml version="1.0" encoding="utf-8"?>
<calcChain xmlns="http://schemas.openxmlformats.org/spreadsheetml/2006/main">
  <c r="Q845" i="1" l="1"/>
  <c r="Q789" i="1"/>
  <c r="Q786" i="1"/>
  <c r="Q775" i="1"/>
  <c r="Q772" i="1"/>
  <c r="U523" i="1" l="1"/>
  <c r="Q464" i="1" l="1"/>
  <c r="Q460" i="1"/>
  <c r="Q479" i="1" l="1"/>
  <c r="Q476" i="1"/>
  <c r="A462" i="1"/>
  <c r="C485" i="1" s="1"/>
  <c r="A463" i="1"/>
  <c r="D485" i="1" s="1"/>
  <c r="A477" i="1"/>
  <c r="E485" i="1" s="1"/>
  <c r="A480" i="1"/>
  <c r="F485" i="1" s="1"/>
  <c r="A483" i="1"/>
  <c r="G485" i="1" s="1"/>
  <c r="A494" i="1"/>
  <c r="C512" i="1" s="1"/>
  <c r="A495" i="1"/>
  <c r="D512" i="1" s="1"/>
  <c r="A503" i="1"/>
  <c r="E512" i="1" s="1"/>
  <c r="A506" i="1"/>
  <c r="F512" i="1" s="1"/>
  <c r="A509" i="1"/>
  <c r="G512" i="1" s="1"/>
  <c r="A516" i="1"/>
  <c r="A529" i="1" s="1"/>
  <c r="A517" i="1"/>
  <c r="A530" i="1" s="1"/>
  <c r="A518" i="1"/>
  <c r="A531" i="1" s="1"/>
  <c r="A519" i="1"/>
  <c r="A532" i="1" s="1"/>
  <c r="A520" i="1"/>
  <c r="A533" i="1" s="1"/>
  <c r="A522" i="1"/>
  <c r="A534" i="1" s="1"/>
  <c r="A523" i="1"/>
  <c r="A535" i="1" s="1"/>
  <c r="A549" i="1"/>
  <c r="A536" i="1" s="1"/>
  <c r="A552" i="1"/>
  <c r="A537" i="1" s="1"/>
  <c r="A554" i="1"/>
  <c r="A340" i="1"/>
  <c r="C364" i="1" s="1"/>
  <c r="A345" i="1"/>
  <c r="D364" i="1" s="1"/>
  <c r="A350" i="1"/>
  <c r="E364" i="1" s="1"/>
  <c r="A355" i="1"/>
  <c r="F364" i="1" s="1"/>
  <c r="A362" i="1"/>
  <c r="G364" i="1" s="1"/>
  <c r="A375" i="1"/>
  <c r="C399" i="1" s="1"/>
  <c r="A380" i="1"/>
  <c r="D399" i="1" s="1"/>
  <c r="A385" i="1"/>
  <c r="E399" i="1" s="1"/>
  <c r="A390" i="1"/>
  <c r="F399" i="1" s="1"/>
  <c r="A397" i="1"/>
  <c r="G399" i="1" s="1"/>
  <c r="I411" i="1"/>
  <c r="B438" i="1" s="1"/>
  <c r="I416" i="1"/>
  <c r="I417" i="1"/>
  <c r="D438" i="1" s="1"/>
  <c r="I422" i="1"/>
  <c r="E438" i="1" s="1"/>
  <c r="I423" i="1"/>
  <c r="I428" i="1"/>
  <c r="G438" i="1" s="1"/>
  <c r="I429" i="1"/>
  <c r="H438" i="1" s="1"/>
  <c r="I436" i="1"/>
  <c r="I438" i="1" s="1"/>
  <c r="I450" i="1"/>
  <c r="C455" i="1" s="1"/>
  <c r="I451" i="1"/>
  <c r="D455" i="1" s="1"/>
  <c r="I453" i="1"/>
  <c r="E455" i="1" s="1"/>
  <c r="A697" i="1"/>
  <c r="A702" i="1"/>
  <c r="D720" i="1" s="1"/>
  <c r="A706" i="1"/>
  <c r="E720" i="1" s="1"/>
  <c r="A709" i="1"/>
  <c r="F720" i="1" s="1"/>
  <c r="A712" i="1"/>
  <c r="A714" i="1"/>
  <c r="A717" i="1"/>
  <c r="I720" i="1" s="1"/>
  <c r="B775" i="1"/>
  <c r="A775" i="1" s="1"/>
  <c r="B786" i="1"/>
  <c r="A786" i="1" s="1"/>
  <c r="B790" i="1"/>
  <c r="A790" i="1" s="1"/>
  <c r="B801" i="1"/>
  <c r="A801" i="1" s="1"/>
  <c r="B796" i="1"/>
  <c r="B805" i="1"/>
  <c r="A805" i="1" s="1"/>
  <c r="A829" i="1"/>
  <c r="C838" i="1" s="1"/>
  <c r="B835" i="1"/>
  <c r="D838" i="1" s="1"/>
  <c r="H861" i="1"/>
  <c r="A882" i="1" s="1"/>
  <c r="H862" i="1"/>
  <c r="B882" i="1" s="1"/>
  <c r="C863" i="1"/>
  <c r="C882" i="1" s="1"/>
  <c r="C864" i="1"/>
  <c r="D882" i="1" s="1"/>
  <c r="C865" i="1"/>
  <c r="E882" i="1" s="1"/>
  <c r="B867" i="1"/>
  <c r="F882" i="1" s="1"/>
  <c r="B870" i="1"/>
  <c r="A883" i="1" s="1"/>
  <c r="B873" i="1"/>
  <c r="C883" i="1" s="1"/>
  <c r="B875" i="1"/>
  <c r="B883" i="1" s="1"/>
  <c r="B877" i="1"/>
  <c r="D883" i="1" s="1"/>
  <c r="B879" i="1"/>
  <c r="E883" i="1" s="1"/>
  <c r="B881" i="1"/>
  <c r="F883" i="1" s="1"/>
  <c r="B899" i="1"/>
  <c r="A929" i="1" s="1"/>
  <c r="B906" i="1"/>
  <c r="B929" i="1" s="1"/>
  <c r="B914" i="1"/>
  <c r="C929" i="1" s="1"/>
  <c r="B917" i="1"/>
  <c r="D929" i="1" s="1"/>
  <c r="B920" i="1"/>
  <c r="E929" i="1" s="1"/>
  <c r="B923" i="1"/>
  <c r="F929" i="1" s="1"/>
  <c r="B926" i="1"/>
  <c r="G929" i="1" s="1"/>
  <c r="B573" i="1"/>
  <c r="C584" i="1" s="1"/>
  <c r="B576" i="1"/>
  <c r="D584" i="1" s="1"/>
  <c r="B580" i="1"/>
  <c r="E584" i="1" s="1"/>
  <c r="B593" i="1"/>
  <c r="C601" i="1" s="1"/>
  <c r="B597" i="1"/>
  <c r="B610" i="1"/>
  <c r="C618" i="1" s="1"/>
  <c r="B614" i="1"/>
  <c r="K627" i="1"/>
  <c r="J627" i="1" s="1"/>
  <c r="A641" i="1"/>
  <c r="C654" i="1" s="1"/>
  <c r="A642" i="1"/>
  <c r="D654" i="1" s="1"/>
  <c r="B648" i="1"/>
  <c r="E654" i="1" s="1"/>
  <c r="B651" i="1"/>
  <c r="F654" i="1" s="1"/>
  <c r="B656" i="1"/>
  <c r="G654" i="1" s="1"/>
  <c r="B670" i="1"/>
  <c r="C677" i="1" s="1"/>
  <c r="B674" i="1"/>
  <c r="D677" i="1" s="1"/>
  <c r="I686" i="1"/>
  <c r="F690" i="1" s="1"/>
  <c r="I688" i="1"/>
  <c r="H736" i="1"/>
  <c r="D735" i="1" s="1"/>
  <c r="I736" i="1"/>
  <c r="B749" i="1"/>
  <c r="C760" i="1" s="1"/>
  <c r="B752" i="1"/>
  <c r="D760" i="1" s="1"/>
  <c r="B757" i="1"/>
  <c r="E760" i="1" s="1"/>
  <c r="B761" i="1"/>
  <c r="F760" i="1" s="1"/>
  <c r="A25" i="1"/>
  <c r="A28" i="1"/>
  <c r="A31" i="1"/>
  <c r="A34" i="1"/>
  <c r="A43" i="1"/>
  <c r="A46" i="1"/>
  <c r="A49" i="1"/>
  <c r="A58" i="1"/>
  <c r="A61" i="1"/>
  <c r="A64" i="1"/>
  <c r="A67" i="1"/>
  <c r="A76" i="1"/>
  <c r="A79" i="1"/>
  <c r="D85" i="1" s="1"/>
  <c r="A82" i="1"/>
  <c r="E85" i="1" s="1"/>
  <c r="B98" i="1"/>
  <c r="C102" i="1" s="1"/>
  <c r="B100" i="1"/>
  <c r="D102" i="1" s="1"/>
  <c r="B108" i="1"/>
  <c r="C112" i="1" s="1"/>
  <c r="B110" i="1"/>
  <c r="B118" i="1"/>
  <c r="C122" i="1" s="1"/>
  <c r="B120" i="1"/>
  <c r="B128" i="1"/>
  <c r="C132" i="1" s="1"/>
  <c r="B130" i="1"/>
  <c r="B138" i="1"/>
  <c r="C142" i="1" s="1"/>
  <c r="B140" i="1"/>
  <c r="D142" i="1" s="1"/>
  <c r="B148" i="1"/>
  <c r="C152" i="1" s="1"/>
  <c r="B150" i="1"/>
  <c r="I167" i="1"/>
  <c r="E179" i="1" s="1"/>
  <c r="I169" i="1"/>
  <c r="F179" i="1" s="1"/>
  <c r="I171" i="1"/>
  <c r="G179" i="1" s="1"/>
  <c r="I173" i="1"/>
  <c r="H179" i="1" s="1"/>
  <c r="I175" i="1"/>
  <c r="I179" i="1" s="1"/>
  <c r="I186" i="1"/>
  <c r="E200" i="1" s="1"/>
  <c r="I187" i="1"/>
  <c r="F200" i="1" s="1"/>
  <c r="I192" i="1"/>
  <c r="G200" i="1" s="1"/>
  <c r="I194" i="1"/>
  <c r="H200" i="1" s="1"/>
  <c r="I196" i="1"/>
  <c r="I200" i="1" s="1"/>
  <c r="A206" i="1"/>
  <c r="E225" i="1" s="1"/>
  <c r="A207" i="1"/>
  <c r="F225" i="1" s="1"/>
  <c r="A215" i="1"/>
  <c r="G225" i="1" s="1"/>
  <c r="A217" i="1"/>
  <c r="H225" i="1" s="1"/>
  <c r="A220" i="1"/>
  <c r="I225" i="1" s="1"/>
  <c r="F247" i="1"/>
  <c r="F248" i="1" s="1"/>
  <c r="G247" i="1"/>
  <c r="G248" i="1" s="1"/>
  <c r="H247" i="1"/>
  <c r="H248" i="1" s="1"/>
  <c r="I247" i="1"/>
  <c r="I248" i="1" s="1"/>
  <c r="I254" i="1"/>
  <c r="I255" i="1"/>
  <c r="H265" i="1" s="1"/>
  <c r="I262" i="1"/>
  <c r="I265" i="1" s="1"/>
  <c r="E297" i="1"/>
  <c r="E299" i="1" s="1"/>
  <c r="F297" i="1"/>
  <c r="F299" i="1" s="1"/>
  <c r="G297" i="1"/>
  <c r="G299" i="1" s="1"/>
  <c r="H297" i="1"/>
  <c r="H299" i="1" s="1"/>
  <c r="I297" i="1"/>
  <c r="I299" i="1" s="1"/>
  <c r="F320" i="1"/>
  <c r="F321" i="1" s="1"/>
  <c r="G320" i="1"/>
  <c r="A538" i="1"/>
  <c r="Q495" i="1"/>
  <c r="G720" i="1"/>
  <c r="H720" i="1"/>
  <c r="R505" i="1"/>
  <c r="R504" i="1"/>
  <c r="R503" i="1"/>
  <c r="R501" i="1"/>
  <c r="R502" i="1"/>
  <c r="W505" i="1"/>
  <c r="W503" i="1"/>
  <c r="W501" i="1"/>
  <c r="W500" i="1"/>
  <c r="U505" i="1"/>
  <c r="U504" i="1"/>
  <c r="U501" i="1"/>
  <c r="U500" i="1"/>
  <c r="S505" i="1"/>
  <c r="S504" i="1"/>
  <c r="S501" i="1"/>
  <c r="S500" i="1"/>
  <c r="V501" i="1"/>
  <c r="V500" i="1"/>
  <c r="T501" i="1"/>
  <c r="T500" i="1"/>
  <c r="Q511" i="1"/>
  <c r="Q508" i="1"/>
  <c r="Q506" i="1"/>
  <c r="Q498" i="1"/>
  <c r="Q492" i="1"/>
  <c r="Q491" i="1"/>
  <c r="P491" i="1"/>
  <c r="Q467" i="1"/>
  <c r="Q466" i="1"/>
  <c r="Q465" i="1"/>
  <c r="Q463" i="1"/>
  <c r="T467" i="1"/>
  <c r="T465" i="1"/>
  <c r="T463" i="1"/>
  <c r="T462" i="1"/>
  <c r="R467" i="1"/>
  <c r="R466" i="1"/>
  <c r="R463" i="1"/>
  <c r="R462" i="1"/>
  <c r="U467" i="1"/>
  <c r="U463" i="1"/>
  <c r="U462" i="1"/>
  <c r="S463" i="1"/>
  <c r="S462" i="1"/>
  <c r="Q459" i="1"/>
  <c r="Q474" i="1"/>
  <c r="Q472" i="1"/>
  <c r="Q469" i="1"/>
  <c r="P459" i="1"/>
  <c r="W700" i="1"/>
  <c r="W697" i="1"/>
  <c r="Q700" i="1"/>
  <c r="Q699" i="1"/>
  <c r="Q698" i="1"/>
  <c r="Q697" i="1"/>
  <c r="V700" i="1"/>
  <c r="V699" i="1"/>
  <c r="V696" i="1"/>
  <c r="T700" i="1"/>
  <c r="T699" i="1"/>
  <c r="T696" i="1"/>
  <c r="U697" i="1"/>
  <c r="S697" i="1"/>
  <c r="R700" i="1"/>
  <c r="R698" i="1"/>
  <c r="R697" i="1"/>
  <c r="R696" i="1"/>
  <c r="U696" i="1"/>
  <c r="S696" i="1"/>
  <c r="Q718" i="1"/>
  <c r="Q717" i="1"/>
  <c r="Q704" i="1"/>
  <c r="Q714" i="1"/>
  <c r="Q709" i="1"/>
  <c r="Q712" i="1"/>
  <c r="Q707" i="1"/>
  <c r="Q705" i="1"/>
  <c r="Q702" i="1"/>
  <c r="Q695" i="1"/>
  <c r="Q694" i="1"/>
  <c r="P694" i="1"/>
  <c r="Q551" i="1"/>
  <c r="Q550" i="1"/>
  <c r="R545" i="1"/>
  <c r="R543" i="1"/>
  <c r="R548" i="1"/>
  <c r="R547" i="1"/>
  <c r="R544" i="1"/>
  <c r="R542" i="1"/>
  <c r="R541" i="1"/>
  <c r="R540" i="1"/>
  <c r="W548" i="1"/>
  <c r="W545" i="1"/>
  <c r="W544" i="1"/>
  <c r="W543" i="1"/>
  <c r="W542" i="1"/>
  <c r="W539" i="1"/>
  <c r="V540" i="1"/>
  <c r="U548" i="1"/>
  <c r="U547" i="1"/>
  <c r="U543" i="1"/>
  <c r="U541" i="1"/>
  <c r="U540" i="1"/>
  <c r="U539" i="1"/>
  <c r="T540" i="1"/>
  <c r="T539" i="1"/>
  <c r="S548" i="1"/>
  <c r="S547" i="1"/>
  <c r="S543" i="1"/>
  <c r="S541" i="1"/>
  <c r="S540" i="1"/>
  <c r="S539" i="1"/>
  <c r="V539" i="1"/>
  <c r="Q537" i="1"/>
  <c r="Q529" i="1"/>
  <c r="Q524" i="1"/>
  <c r="Q522" i="1"/>
  <c r="Q521" i="1"/>
  <c r="Q534" i="1"/>
  <c r="Q531" i="1"/>
  <c r="Q526" i="1"/>
  <c r="Q519" i="1"/>
  <c r="Q517" i="1"/>
  <c r="Q516" i="1"/>
  <c r="P516" i="1"/>
  <c r="R818" i="1"/>
  <c r="Q820" i="1"/>
  <c r="Q819" i="1"/>
  <c r="Q818" i="1"/>
  <c r="Q821" i="1"/>
  <c r="Q816" i="1"/>
  <c r="W821" i="1"/>
  <c r="W816" i="1"/>
  <c r="T821" i="1"/>
  <c r="T820" i="1"/>
  <c r="T816" i="1"/>
  <c r="T815" i="1"/>
  <c r="V816" i="1"/>
  <c r="V821" i="1"/>
  <c r="V819" i="1"/>
  <c r="V815" i="1"/>
  <c r="U815" i="1"/>
  <c r="S815" i="1"/>
  <c r="R815" i="1"/>
  <c r="Q835" i="1"/>
  <c r="Q834" i="1"/>
  <c r="Q830" i="1"/>
  <c r="Q839" i="1"/>
  <c r="Q837" i="1"/>
  <c r="Q836" i="1"/>
  <c r="Q833" i="1"/>
  <c r="Q831" i="1"/>
  <c r="Q829" i="1"/>
  <c r="Q823" i="1"/>
  <c r="Q826" i="1"/>
  <c r="Q812" i="1"/>
  <c r="Q811" i="1"/>
  <c r="P811" i="1"/>
  <c r="Q768" i="1"/>
  <c r="Q783" i="1"/>
  <c r="Q781" i="1"/>
  <c r="Q780" i="1"/>
  <c r="Q779" i="1"/>
  <c r="Q778" i="1"/>
  <c r="X781" i="1"/>
  <c r="X779" i="1"/>
  <c r="X778" i="1"/>
  <c r="X777" i="1"/>
  <c r="W778" i="1"/>
  <c r="W777" i="1"/>
  <c r="V781" i="1"/>
  <c r="V779" i="1"/>
  <c r="V778" i="1"/>
  <c r="V777" i="1"/>
  <c r="U778" i="1"/>
  <c r="U777" i="1"/>
  <c r="T781" i="1"/>
  <c r="T780" i="1"/>
  <c r="T778" i="1"/>
  <c r="T777" i="1"/>
  <c r="S778" i="1"/>
  <c r="S777" i="1"/>
  <c r="R781" i="1"/>
  <c r="R780" i="1"/>
  <c r="R778" i="1"/>
  <c r="R777" i="1"/>
  <c r="Q769" i="1"/>
  <c r="P768" i="1"/>
  <c r="Q862" i="1"/>
  <c r="Q858" i="1"/>
  <c r="Q856" i="1"/>
  <c r="Q860" i="1"/>
  <c r="Q847" i="1"/>
  <c r="Q852" i="1"/>
  <c r="Q854" i="1"/>
  <c r="Q844" i="1"/>
  <c r="P844" i="1"/>
  <c r="V905" i="1"/>
  <c r="V898" i="1"/>
  <c r="S902" i="1"/>
  <c r="S895" i="1"/>
  <c r="S900" i="1"/>
  <c r="S893" i="1"/>
  <c r="U902" i="1"/>
  <c r="U895" i="1"/>
  <c r="U900" i="1"/>
  <c r="U893" i="1"/>
  <c r="W905" i="1"/>
  <c r="W898" i="1"/>
  <c r="R900" i="1"/>
  <c r="R893" i="1"/>
  <c r="T900" i="1"/>
  <c r="V900" i="1"/>
  <c r="V904" i="1"/>
  <c r="V897" i="1"/>
  <c r="V893" i="1"/>
  <c r="T905" i="1"/>
  <c r="T904" i="1"/>
  <c r="R905" i="1"/>
  <c r="T897" i="1"/>
  <c r="T898" i="1"/>
  <c r="T893" i="1"/>
  <c r="R898" i="1"/>
  <c r="R895" i="1"/>
  <c r="R903" i="1"/>
  <c r="R902" i="1"/>
  <c r="R896" i="1"/>
  <c r="Q895" i="1"/>
  <c r="Q905" i="1"/>
  <c r="Q904" i="1"/>
  <c r="Q903" i="1"/>
  <c r="Q902" i="1"/>
  <c r="Q898" i="1"/>
  <c r="Q897" i="1"/>
  <c r="Q896" i="1"/>
  <c r="Q922" i="1"/>
  <c r="Q921" i="1"/>
  <c r="Q918" i="1"/>
  <c r="Q914" i="1"/>
  <c r="Q912" i="1"/>
  <c r="Q909" i="1"/>
  <c r="Q907" i="1"/>
  <c r="Q888" i="1"/>
  <c r="Q890" i="1"/>
  <c r="Q887" i="1"/>
  <c r="P887" i="1"/>
  <c r="F438" i="1"/>
  <c r="O932" i="1"/>
  <c r="A63" i="1"/>
  <c r="A796" i="1" l="1"/>
  <c r="K804" i="1"/>
  <c r="J804" i="1" s="1"/>
  <c r="K361" i="1"/>
  <c r="J361" i="1" s="1"/>
  <c r="K396" i="1"/>
  <c r="J396" i="1" s="1"/>
  <c r="K554" i="1"/>
  <c r="J554" i="1" s="1"/>
  <c r="K149" i="1"/>
  <c r="J149" i="1" s="1"/>
  <c r="K674" i="1"/>
  <c r="J674" i="1" s="1"/>
  <c r="D152" i="1"/>
  <c r="J67" i="1"/>
  <c r="J49" i="1"/>
  <c r="K733" i="1"/>
  <c r="J733" i="1" s="1"/>
  <c r="K222" i="1"/>
  <c r="J222" i="1" s="1"/>
  <c r="K82" i="1"/>
  <c r="J82" i="1" s="1"/>
  <c r="K717" i="1"/>
  <c r="J717" i="1" s="1"/>
  <c r="D112" i="1"/>
  <c r="K109" i="1" s="1"/>
  <c r="J109" i="1" s="1"/>
  <c r="G321" i="1"/>
  <c r="K317" i="1" s="1"/>
  <c r="J317" i="1" s="1"/>
  <c r="E735" i="1"/>
  <c r="G690" i="1"/>
  <c r="K687" i="1" s="1"/>
  <c r="J687" i="1" s="1"/>
  <c r="D601" i="1"/>
  <c r="K598" i="1" s="1"/>
  <c r="J598" i="1" s="1"/>
  <c r="K129" i="1"/>
  <c r="J129" i="1" s="1"/>
  <c r="K119" i="1"/>
  <c r="J119" i="1" s="1"/>
  <c r="K67" i="1"/>
  <c r="J34" i="1"/>
  <c r="K615" i="1"/>
  <c r="J615" i="1" s="1"/>
  <c r="K262" i="1"/>
  <c r="J262" i="1" s="1"/>
  <c r="K49" i="1"/>
  <c r="K926" i="1"/>
  <c r="J926" i="1" s="1"/>
  <c r="K435" i="1"/>
  <c r="J435" i="1" s="1"/>
  <c r="C438" i="1"/>
  <c r="G265" i="1"/>
  <c r="C720" i="1"/>
  <c r="D132" i="1"/>
  <c r="D122" i="1"/>
  <c r="C85" i="1"/>
  <c r="D618" i="1"/>
  <c r="K295" i="1"/>
  <c r="J295" i="1" s="1"/>
  <c r="K244" i="1"/>
  <c r="J244" i="1" s="1"/>
  <c r="K197" i="1"/>
  <c r="J197" i="1" s="1"/>
  <c r="K176" i="1"/>
  <c r="J176" i="1" s="1"/>
  <c r="K139" i="1"/>
  <c r="J139" i="1" s="1"/>
  <c r="K99" i="1"/>
  <c r="J99" i="1" s="1"/>
  <c r="K34" i="1"/>
  <c r="K761" i="1"/>
  <c r="J761" i="1" s="1"/>
  <c r="K656" i="1"/>
  <c r="J656" i="1" s="1"/>
  <c r="K581" i="1"/>
  <c r="J581" i="1" s="1"/>
  <c r="K880" i="1"/>
  <c r="J880" i="1" s="1"/>
  <c r="K836" i="1"/>
  <c r="J836" i="1" s="1"/>
  <c r="K452" i="1"/>
  <c r="J452" i="1" s="1"/>
  <c r="K509" i="1"/>
  <c r="J509" i="1" s="1"/>
  <c r="K483" i="1"/>
  <c r="J483" i="1" s="1"/>
  <c r="L151" i="1" l="1"/>
  <c r="L319" i="1"/>
  <c r="L928" i="1"/>
  <c r="L556" i="1"/>
  <c r="I932" i="1" l="1"/>
  <c r="B932" i="1" s="1"/>
  <c r="J932" i="1" l="1"/>
  <c r="I936" i="1"/>
</calcChain>
</file>

<file path=xl/comments1.xml><?xml version="1.0" encoding="utf-8"?>
<comments xmlns="http://schemas.openxmlformats.org/spreadsheetml/2006/main">
  <authors>
    <author>. .</author>
    <author>MINAS</author>
  </authors>
  <commentList>
    <comment ref="C98" authorId="0" shapeId="0">
      <text>
        <r>
          <rPr>
            <sz val="8"/>
            <color indexed="8"/>
            <rFont val="Tahoma"/>
            <family val="2"/>
            <charset val="161"/>
          </rPr>
          <t xml:space="preserve">
Για να γράψουμε κάποιον αριθμητικό </t>
        </r>
        <r>
          <rPr>
            <b/>
            <sz val="8"/>
            <color indexed="8"/>
            <rFont val="Tahoma"/>
            <family val="2"/>
            <charset val="161"/>
          </rPr>
          <t>δείκτη</t>
        </r>
        <r>
          <rPr>
            <sz val="8"/>
            <color indexed="8"/>
            <rFont val="Tahoma"/>
            <family val="2"/>
            <charset val="161"/>
          </rPr>
          <t xml:space="preserve"> μέσα σε ένα χημικό τύπο, π.χ. για να γράψουμε </t>
        </r>
        <r>
          <rPr>
            <b/>
            <sz val="8"/>
            <color indexed="8"/>
            <rFont val="Tahoma"/>
            <family val="2"/>
            <charset val="161"/>
          </rPr>
          <t>"Η</t>
        </r>
        <r>
          <rPr>
            <b/>
            <vertAlign val="subscript"/>
            <sz val="8"/>
            <color indexed="8"/>
            <rFont val="Tahoma"/>
            <family val="2"/>
            <charset val="161"/>
          </rPr>
          <t>2</t>
        </r>
        <r>
          <rPr>
            <b/>
            <sz val="8"/>
            <color indexed="8"/>
            <rFont val="Tahoma"/>
            <family val="2"/>
            <charset val="161"/>
          </rPr>
          <t>",</t>
        </r>
        <r>
          <rPr>
            <sz val="8"/>
            <color indexed="8"/>
            <rFont val="Tahoma"/>
            <family val="2"/>
            <charset val="161"/>
          </rPr>
          <t xml:space="preserve"> γράφουμε </t>
        </r>
        <r>
          <rPr>
            <b/>
            <sz val="8"/>
            <color indexed="8"/>
            <rFont val="Tahoma"/>
            <family val="2"/>
            <charset val="161"/>
          </rPr>
          <t>"Η"</t>
        </r>
        <r>
          <rPr>
            <sz val="8"/>
            <color indexed="8"/>
            <rFont val="Tahoma"/>
            <family val="2"/>
            <charset val="161"/>
          </rPr>
          <t xml:space="preserve"> και μετά </t>
        </r>
        <r>
          <rPr>
            <b/>
            <sz val="8"/>
            <color indexed="8"/>
            <rFont val="Tahoma"/>
            <family val="2"/>
            <charset val="161"/>
          </rPr>
          <t>"2",</t>
        </r>
        <r>
          <rPr>
            <sz val="8"/>
            <color indexed="8"/>
            <rFont val="Tahoma"/>
            <family val="2"/>
            <charset val="161"/>
          </rPr>
          <t xml:space="preserve"> επιλέγουμε το </t>
        </r>
        <r>
          <rPr>
            <b/>
            <sz val="8"/>
            <color indexed="8"/>
            <rFont val="Tahoma"/>
            <family val="2"/>
            <charset val="161"/>
          </rPr>
          <t>"2"</t>
        </r>
        <r>
          <rPr>
            <sz val="8"/>
            <color indexed="8"/>
            <rFont val="Tahoma"/>
            <family val="2"/>
            <charset val="161"/>
          </rPr>
          <t xml:space="preserve"> και κάνοντας δεξί κλικ επιλέγουμε διαδοχικά, </t>
        </r>
        <r>
          <rPr>
            <b/>
            <sz val="8"/>
            <color indexed="8"/>
            <rFont val="Tahoma"/>
            <family val="2"/>
            <charset val="161"/>
          </rPr>
          <t>"Μορφοποίηση</t>
        </r>
        <r>
          <rPr>
            <sz val="8"/>
            <color indexed="8"/>
            <rFont val="Tahoma"/>
            <family val="2"/>
            <charset val="161"/>
          </rPr>
          <t xml:space="preserve"> </t>
        </r>
        <r>
          <rPr>
            <b/>
            <sz val="8"/>
            <color indexed="8"/>
            <rFont val="Tahoma"/>
            <family val="2"/>
            <charset val="161"/>
          </rPr>
          <t>κελιών"</t>
        </r>
        <r>
          <rPr>
            <sz val="8"/>
            <color indexed="8"/>
            <rFont val="Tahoma"/>
            <family val="2"/>
            <charset val="161"/>
          </rPr>
          <t xml:space="preserve"> και </t>
        </r>
        <r>
          <rPr>
            <b/>
            <sz val="8"/>
            <color indexed="8"/>
            <rFont val="Tahoma"/>
            <family val="2"/>
            <charset val="161"/>
          </rPr>
          <t>"Δείκτης".</t>
        </r>
        <r>
          <rPr>
            <sz val="8"/>
            <color indexed="8"/>
            <rFont val="Tahoma"/>
            <family val="2"/>
            <charset val="161"/>
          </rPr>
          <t xml:space="preserve"> 
Αν θέλουμε αυτό που γράφουμε, να εμφανιστεί σε θέση </t>
        </r>
        <r>
          <rPr>
            <b/>
            <sz val="8"/>
            <color indexed="8"/>
            <rFont val="Tahoma"/>
            <family val="2"/>
            <charset val="161"/>
          </rPr>
          <t>εκθέτη,</t>
        </r>
        <r>
          <rPr>
            <sz val="8"/>
            <color indexed="8"/>
            <rFont val="Tahoma"/>
            <family val="2"/>
            <charset val="161"/>
          </rPr>
          <t xml:space="preserve"> ακολουθούμε την ίδια διαδικασία και στο τέλος αντί </t>
        </r>
        <r>
          <rPr>
            <b/>
            <sz val="8"/>
            <color indexed="8"/>
            <rFont val="Tahoma"/>
            <family val="2"/>
            <charset val="161"/>
          </rPr>
          <t>"Δείκτης"</t>
        </r>
        <r>
          <rPr>
            <sz val="8"/>
            <color indexed="8"/>
            <rFont val="Tahoma"/>
            <family val="2"/>
            <charset val="161"/>
          </rPr>
          <t xml:space="preserve"> επιλέγουμε </t>
        </r>
        <r>
          <rPr>
            <b/>
            <sz val="8"/>
            <color indexed="8"/>
            <rFont val="Tahoma"/>
            <family val="2"/>
            <charset val="161"/>
          </rPr>
          <t xml:space="preserve">"Εκθέτης".
</t>
        </r>
        <r>
          <rPr>
            <sz val="8"/>
            <color indexed="8"/>
            <rFont val="Tahoma"/>
            <family val="2"/>
            <charset val="161"/>
          </rPr>
          <t xml:space="preserve">Στην παρούσα εφαρμογή όμως, επειδή αυτή είναι "προστα-τευμένη", δεν επιτρέπεται η μορφοποίηση κελιών, οπότε ο χημικός τύπος για παράδειγμα του θειικού οξέος θα εμφανίζεται ως... </t>
        </r>
        <r>
          <rPr>
            <b/>
            <sz val="8"/>
            <color indexed="8"/>
            <rFont val="Tahoma"/>
            <family val="2"/>
            <charset val="161"/>
          </rPr>
          <t>H2SO4.</t>
        </r>
      </text>
    </comment>
    <comment ref="D100" authorId="0" shapeId="0">
      <text>
        <r>
          <rPr>
            <sz val="8"/>
            <color indexed="8"/>
            <rFont val="Tahoma"/>
            <family val="2"/>
            <charset val="161"/>
          </rPr>
          <t xml:space="preserve">
Η απάντηση στο κελί </t>
        </r>
        <r>
          <rPr>
            <b/>
            <sz val="8"/>
            <color indexed="8"/>
            <rFont val="Tahoma"/>
            <family val="2"/>
            <charset val="161"/>
          </rPr>
          <t>H100</t>
        </r>
        <r>
          <rPr>
            <sz val="8"/>
            <color indexed="8"/>
            <rFont val="Tahoma"/>
            <family val="2"/>
            <charset val="161"/>
          </rPr>
          <t xml:space="preserve"> πρέπει να είναι της μορφής </t>
        </r>
        <r>
          <rPr>
            <b/>
            <sz val="8"/>
            <color indexed="8"/>
            <rFont val="Tahoma"/>
            <family val="2"/>
            <charset val="161"/>
          </rPr>
          <t>"δmol",</t>
        </r>
        <r>
          <rPr>
            <sz val="8"/>
            <color indexed="8"/>
            <rFont val="Tahoma"/>
            <family val="2"/>
            <charset val="161"/>
          </rPr>
          <t xml:space="preserve"> </t>
        </r>
        <r>
          <rPr>
            <b/>
            <sz val="8"/>
            <color indexed="8"/>
            <rFont val="Tahoma"/>
            <family val="2"/>
            <charset val="161"/>
          </rPr>
          <t>(δ: δεκαδικός με 1 ή 2 δεκαδ. ψηφία)</t>
        </r>
        <r>
          <rPr>
            <sz val="8"/>
            <color indexed="8"/>
            <rFont val="Tahoma"/>
            <family val="2"/>
            <charset val="161"/>
          </rPr>
          <t xml:space="preserve"> π.χ. </t>
        </r>
        <r>
          <rPr>
            <b/>
            <sz val="8"/>
            <color indexed="8"/>
            <rFont val="Tahoma"/>
            <family val="2"/>
            <charset val="161"/>
          </rPr>
          <t xml:space="preserve">"0,8mol". </t>
        </r>
        <r>
          <rPr>
            <sz val="8"/>
            <color indexed="8"/>
            <rFont val="Tahoma"/>
            <family val="2"/>
            <charset val="161"/>
          </rPr>
          <t xml:space="preserve">Η παρατήρηση αυτή ισχύει και για τις ασκήσεις από </t>
        </r>
        <r>
          <rPr>
            <b/>
            <sz val="8"/>
            <color indexed="8"/>
            <rFont val="Tahoma"/>
            <family val="2"/>
            <charset val="161"/>
          </rPr>
          <t>5.β</t>
        </r>
        <r>
          <rPr>
            <sz val="8"/>
            <color indexed="8"/>
            <rFont val="Tahoma"/>
            <family val="2"/>
            <charset val="161"/>
          </rPr>
          <t xml:space="preserve"> έως </t>
        </r>
        <r>
          <rPr>
            <b/>
            <sz val="8"/>
            <color indexed="8"/>
            <rFont val="Tahoma"/>
            <family val="2"/>
            <charset val="161"/>
          </rPr>
          <t xml:space="preserve">5.στ. 
ΠΡΟΣΟΧΗ! </t>
        </r>
        <r>
          <rPr>
            <sz val="8"/>
            <color indexed="8"/>
            <rFont val="Tahoma"/>
            <family val="2"/>
            <charset val="161"/>
          </rPr>
          <t xml:space="preserve">Η υποδιαστολή των δεκαδικών αριθμών να γράφεται με κόμμα </t>
        </r>
        <r>
          <rPr>
            <b/>
            <sz val="8"/>
            <color indexed="8"/>
            <rFont val="Tahoma"/>
            <family val="2"/>
            <charset val="161"/>
          </rPr>
          <t>","</t>
        </r>
        <r>
          <rPr>
            <sz val="8"/>
            <color indexed="8"/>
            <rFont val="Tahoma"/>
            <family val="2"/>
            <charset val="161"/>
          </rPr>
          <t xml:space="preserve"> και </t>
        </r>
        <r>
          <rPr>
            <b/>
            <sz val="8"/>
            <color indexed="8"/>
            <rFont val="Tahoma"/>
            <family val="2"/>
            <charset val="161"/>
          </rPr>
          <t>όχι</t>
        </r>
        <r>
          <rPr>
            <sz val="8"/>
            <color indexed="8"/>
            <rFont val="Tahoma"/>
            <family val="2"/>
            <charset val="161"/>
          </rPr>
          <t xml:space="preserve"> με τελεία </t>
        </r>
        <r>
          <rPr>
            <b/>
            <sz val="8"/>
            <color indexed="8"/>
            <rFont val="Tahoma"/>
            <family val="2"/>
            <charset val="161"/>
          </rPr>
          <t>"."</t>
        </r>
        <r>
          <rPr>
            <sz val="8"/>
            <color indexed="8"/>
            <rFont val="Tahoma"/>
            <family val="2"/>
            <charset val="161"/>
          </rPr>
          <t>.</t>
        </r>
      </text>
    </comment>
    <comment ref="C171" authorId="0" shapeId="0">
      <text>
        <r>
          <rPr>
            <sz val="8"/>
            <color indexed="8"/>
            <rFont val="Tahoma"/>
            <family val="2"/>
            <charset val="161"/>
          </rPr>
          <t xml:space="preserve">
Η απάντηση στο κελί </t>
        </r>
        <r>
          <rPr>
            <b/>
            <sz val="8"/>
            <color indexed="8"/>
            <rFont val="Tahoma"/>
            <family val="2"/>
            <charset val="161"/>
          </rPr>
          <t>H171</t>
        </r>
        <r>
          <rPr>
            <sz val="8"/>
            <color indexed="8"/>
            <rFont val="Tahoma"/>
            <family val="2"/>
            <charset val="161"/>
          </rPr>
          <t xml:space="preserve"> είναι δεκαδικός αριθμός με </t>
        </r>
        <r>
          <rPr>
            <b/>
            <sz val="8"/>
            <color indexed="8"/>
            <rFont val="Tahoma"/>
            <family val="2"/>
            <charset val="161"/>
          </rPr>
          <t>1</t>
        </r>
        <r>
          <rPr>
            <sz val="8"/>
            <color indexed="8"/>
            <rFont val="Tahoma"/>
            <family val="2"/>
            <charset val="161"/>
          </rPr>
          <t xml:space="preserve"> δεκαδικό ψηφίο.</t>
        </r>
      </text>
    </comment>
    <comment ref="C173" authorId="0" shapeId="0">
      <text>
        <r>
          <rPr>
            <sz val="8"/>
            <color indexed="8"/>
            <rFont val="Tahoma"/>
            <family val="2"/>
            <charset val="161"/>
          </rPr>
          <t xml:space="preserve">
Η απάντηση στο κελί </t>
        </r>
        <r>
          <rPr>
            <b/>
            <sz val="8"/>
            <color indexed="8"/>
            <rFont val="Tahoma"/>
            <family val="2"/>
            <charset val="161"/>
          </rPr>
          <t xml:space="preserve">H173 </t>
        </r>
        <r>
          <rPr>
            <sz val="8"/>
            <color indexed="8"/>
            <rFont val="Tahoma"/>
            <family val="2"/>
            <charset val="161"/>
          </rPr>
          <t xml:space="preserve">πρέπει να έχει     τη μορφή </t>
        </r>
        <r>
          <rPr>
            <b/>
            <sz val="8"/>
            <color indexed="8"/>
            <rFont val="Tahoma"/>
            <family val="2"/>
            <charset val="161"/>
          </rPr>
          <t>"φ%".</t>
        </r>
      </text>
    </comment>
    <comment ref="C175" authorId="0" shapeId="0">
      <text>
        <r>
          <rPr>
            <sz val="8"/>
            <color indexed="8"/>
            <rFont val="Tahoma"/>
            <family val="2"/>
            <charset val="161"/>
          </rPr>
          <t xml:space="preserve">
Η απάντηση στο κελί </t>
        </r>
        <r>
          <rPr>
            <b/>
            <sz val="8"/>
            <color indexed="8"/>
            <rFont val="Tahoma"/>
            <family val="2"/>
            <charset val="161"/>
          </rPr>
          <t>H175</t>
        </r>
        <r>
          <rPr>
            <sz val="8"/>
            <color indexed="8"/>
            <rFont val="Tahoma"/>
            <family val="2"/>
            <charset val="161"/>
          </rPr>
          <t xml:space="preserve"> είναι </t>
        </r>
        <r>
          <rPr>
            <b/>
            <sz val="8"/>
            <color indexed="8"/>
            <rFont val="Tahoma"/>
            <family val="2"/>
            <charset val="161"/>
          </rPr>
          <t>ακέραιος</t>
        </r>
        <r>
          <rPr>
            <sz val="8"/>
            <color indexed="8"/>
            <rFont val="Tahoma"/>
            <family val="2"/>
            <charset val="161"/>
          </rPr>
          <t xml:space="preserve"> αριθμός.</t>
        </r>
      </text>
    </comment>
    <comment ref="H184" authorId="0" shapeId="0">
      <text>
        <r>
          <rPr>
            <sz val="8"/>
            <color indexed="8"/>
            <rFont val="Tahoma"/>
            <family val="2"/>
            <charset val="161"/>
          </rPr>
          <t xml:space="preserve">Όλες οι εγγραφές στα κενά κελιά αυτού του πίνακα θα πρέπει να είναι της μορφής </t>
        </r>
        <r>
          <rPr>
            <b/>
            <sz val="8"/>
            <color indexed="8"/>
            <rFont val="Tahoma"/>
            <family val="2"/>
            <charset val="161"/>
          </rPr>
          <t>"amol"</t>
        </r>
        <r>
          <rPr>
            <sz val="8"/>
            <color indexed="8"/>
            <rFont val="Tahoma"/>
            <family val="2"/>
            <charset val="161"/>
          </rPr>
          <t xml:space="preserve"> </t>
        </r>
        <r>
          <rPr>
            <b/>
            <sz val="8"/>
            <color indexed="8"/>
            <rFont val="Tahoma"/>
            <family val="2"/>
            <charset val="161"/>
          </rPr>
          <t>(a: ακέραιος),</t>
        </r>
        <r>
          <rPr>
            <sz val="8"/>
            <color indexed="8"/>
            <rFont val="Tahoma"/>
            <family val="2"/>
            <charset val="161"/>
          </rPr>
          <t xml:space="preserve"> όπως έγινε και στον αντίστοι-χο πίνακα της προηγούμενης άσκησης </t>
        </r>
        <r>
          <rPr>
            <b/>
            <sz val="8"/>
            <color indexed="8"/>
            <rFont val="Tahoma"/>
            <family val="2"/>
            <charset val="161"/>
          </rPr>
          <t>6α.</t>
        </r>
      </text>
    </comment>
    <comment ref="C192" authorId="0" shapeId="0">
      <text>
        <r>
          <rPr>
            <sz val="8"/>
            <color indexed="8"/>
            <rFont val="Tahoma"/>
            <family val="2"/>
            <charset val="161"/>
          </rPr>
          <t xml:space="preserve">
Η απάντηση στο κελί </t>
        </r>
        <r>
          <rPr>
            <b/>
            <sz val="8"/>
            <color indexed="8"/>
            <rFont val="Tahoma"/>
            <family val="2"/>
            <charset val="161"/>
          </rPr>
          <t>H192</t>
        </r>
        <r>
          <rPr>
            <sz val="8"/>
            <color indexed="8"/>
            <rFont val="Tahoma"/>
            <family val="2"/>
            <charset val="161"/>
          </rPr>
          <t xml:space="preserve"> είναι δεκαδικός αριθμός με </t>
        </r>
        <r>
          <rPr>
            <b/>
            <sz val="8"/>
            <color indexed="8"/>
            <rFont val="Tahoma"/>
            <family val="2"/>
            <charset val="161"/>
          </rPr>
          <t>2</t>
        </r>
        <r>
          <rPr>
            <sz val="8"/>
            <color indexed="8"/>
            <rFont val="Tahoma"/>
            <family val="2"/>
            <charset val="161"/>
          </rPr>
          <t xml:space="preserve"> δεκαδικά ψηφία.</t>
        </r>
      </text>
    </comment>
    <comment ref="C194" authorId="0" shapeId="0">
      <text>
        <r>
          <rPr>
            <sz val="8"/>
            <color indexed="8"/>
            <rFont val="Tahoma"/>
            <family val="2"/>
            <charset val="161"/>
          </rPr>
          <t xml:space="preserve">
Η απάντηση στο κελί </t>
        </r>
        <r>
          <rPr>
            <b/>
            <sz val="8"/>
            <color indexed="8"/>
            <rFont val="Tahoma"/>
            <family val="2"/>
            <charset val="161"/>
          </rPr>
          <t>H194</t>
        </r>
        <r>
          <rPr>
            <sz val="8"/>
            <color indexed="8"/>
            <rFont val="Tahoma"/>
            <family val="2"/>
            <charset val="161"/>
          </rPr>
          <t xml:space="preserve"> είναι της μορφής </t>
        </r>
        <r>
          <rPr>
            <b/>
            <sz val="8"/>
            <color indexed="8"/>
            <rFont val="Tahoma"/>
            <family val="2"/>
            <charset val="161"/>
          </rPr>
          <t>"λ%", (λ:ακέραιος).</t>
        </r>
        <r>
          <rPr>
            <sz val="8"/>
            <color indexed="8"/>
            <rFont val="Tahoma"/>
            <family val="2"/>
            <charset val="161"/>
          </rPr>
          <t xml:space="preserve"> </t>
        </r>
      </text>
    </comment>
    <comment ref="C196" authorId="0" shapeId="0">
      <text>
        <r>
          <rPr>
            <sz val="8"/>
            <color indexed="8"/>
            <rFont val="Tahoma"/>
            <family val="2"/>
            <charset val="161"/>
          </rPr>
          <t>Ουδέν σχόλιο...</t>
        </r>
      </text>
    </comment>
    <comment ref="C207" authorId="0" shapeId="0">
      <text>
        <r>
          <rPr>
            <sz val="8"/>
            <color indexed="8"/>
            <rFont val="Tahoma"/>
            <family val="2"/>
            <charset val="161"/>
          </rPr>
          <t xml:space="preserve">Οι ποσότητες που θα γρα-φούν στα κελιά </t>
        </r>
        <r>
          <rPr>
            <b/>
            <sz val="8"/>
            <color indexed="8"/>
            <rFont val="Tahoma"/>
            <family val="2"/>
            <charset val="161"/>
          </rPr>
          <t>D207</t>
        </r>
        <r>
          <rPr>
            <sz val="8"/>
            <color indexed="8"/>
            <rFont val="Tahoma"/>
            <family val="2"/>
            <charset val="161"/>
          </rPr>
          <t xml:space="preserve"> και </t>
        </r>
        <r>
          <rPr>
            <b/>
            <sz val="8"/>
            <color indexed="8"/>
            <rFont val="Tahoma"/>
            <family val="2"/>
            <charset val="161"/>
          </rPr>
          <t>F207,</t>
        </r>
        <r>
          <rPr>
            <sz val="8"/>
            <color indexed="8"/>
            <rFont val="Tahoma"/>
            <family val="2"/>
            <charset val="161"/>
          </rPr>
          <t xml:space="preserve"> θα πρέπει να περιέ-χονται σε </t>
        </r>
        <r>
          <rPr>
            <b/>
            <sz val="8"/>
            <color indexed="8"/>
            <rFont val="Tahoma"/>
            <family val="2"/>
            <charset val="161"/>
          </rPr>
          <t>παρένθεση.</t>
        </r>
      </text>
    </comment>
    <comment ref="C215" authorId="0" shapeId="0">
      <text>
        <r>
          <rPr>
            <sz val="8"/>
            <color indexed="8"/>
            <rFont val="Tahoma"/>
            <family val="2"/>
            <charset val="161"/>
          </rPr>
          <t xml:space="preserve">Ο συντελεστής απόδοσης της αντίδρασης να γραφεί στο κελί </t>
        </r>
        <r>
          <rPr>
            <b/>
            <sz val="8"/>
            <color indexed="8"/>
            <rFont val="Tahoma"/>
            <family val="2"/>
            <charset val="161"/>
          </rPr>
          <t>H215,</t>
        </r>
        <r>
          <rPr>
            <sz val="8"/>
            <color indexed="8"/>
            <rFont val="Tahoma"/>
            <family val="2"/>
            <charset val="161"/>
          </rPr>
          <t xml:space="preserve"> ως ανάγωγο κλάσμα, π.χ. </t>
        </r>
        <r>
          <rPr>
            <b/>
            <sz val="8"/>
            <color indexed="8"/>
            <rFont val="Tahoma"/>
            <family val="2"/>
            <charset val="161"/>
          </rPr>
          <t>"3/5".</t>
        </r>
      </text>
    </comment>
    <comment ref="C217" authorId="0" shapeId="0">
      <text>
        <r>
          <rPr>
            <sz val="8"/>
            <color indexed="8"/>
            <rFont val="Tahoma"/>
            <family val="2"/>
            <charset val="161"/>
          </rPr>
          <t xml:space="preserve">Μορφή απάντησης: </t>
        </r>
        <r>
          <rPr>
            <b/>
            <sz val="8"/>
            <color indexed="8"/>
            <rFont val="Tahoma"/>
            <family val="2"/>
            <charset val="161"/>
          </rPr>
          <t>"β%",</t>
        </r>
        <r>
          <rPr>
            <sz val="8"/>
            <color indexed="8"/>
            <rFont val="Tahoma"/>
            <family val="2"/>
            <charset val="161"/>
          </rPr>
          <t xml:space="preserve"> </t>
        </r>
        <r>
          <rPr>
            <b/>
            <sz val="8"/>
            <color indexed="8"/>
            <rFont val="Tahoma"/>
            <family val="2"/>
            <charset val="161"/>
          </rPr>
          <t>(β:</t>
        </r>
        <r>
          <rPr>
            <sz val="8"/>
            <color indexed="8"/>
            <rFont val="Tahoma"/>
            <family val="2"/>
            <charset val="161"/>
          </rPr>
          <t xml:space="preserve"> να γραφεί η τιμή του με </t>
        </r>
        <r>
          <rPr>
            <b/>
            <sz val="8"/>
            <color indexed="8"/>
            <rFont val="Tahoma"/>
            <family val="2"/>
            <charset val="161"/>
          </rPr>
          <t>προσέγγιση</t>
        </r>
        <r>
          <rPr>
            <sz val="8"/>
            <color indexed="8"/>
            <rFont val="Tahoma"/>
            <family val="2"/>
            <charset val="161"/>
          </rPr>
          <t xml:space="preserve"> </t>
        </r>
        <r>
          <rPr>
            <b/>
            <sz val="8"/>
            <color indexed="8"/>
            <rFont val="Tahoma"/>
            <family val="2"/>
            <charset val="161"/>
          </rPr>
          <t>πρώτου δεκαδικού ψηφίου).</t>
        </r>
      </text>
    </comment>
    <comment ref="C219" authorId="0" shapeId="0">
      <text>
        <r>
          <rPr>
            <sz val="8"/>
            <color indexed="8"/>
            <rFont val="Tahoma"/>
            <family val="2"/>
            <charset val="161"/>
          </rPr>
          <t xml:space="preserve">Μορφή απάντησης στο κελί </t>
        </r>
        <r>
          <rPr>
            <b/>
            <sz val="8"/>
            <color indexed="8"/>
            <rFont val="Tahoma"/>
            <family val="2"/>
            <charset val="161"/>
          </rPr>
          <t>H220:</t>
        </r>
        <r>
          <rPr>
            <sz val="8"/>
            <color indexed="8"/>
            <rFont val="Tahoma"/>
            <family val="2"/>
            <charset val="161"/>
          </rPr>
          <t xml:space="preserve"> </t>
        </r>
        <r>
          <rPr>
            <b/>
            <sz val="8"/>
            <color indexed="8"/>
            <rFont val="Tahoma"/>
            <family val="2"/>
            <charset val="161"/>
          </rPr>
          <t>"ακέραιος".</t>
        </r>
      </text>
    </comment>
    <comment ref="C240" authorId="0" shapeId="0">
      <text>
        <r>
          <rPr>
            <sz val="8"/>
            <color indexed="8"/>
            <rFont val="Tahoma"/>
            <family val="2"/>
            <charset val="161"/>
          </rPr>
          <t xml:space="preserve">Μορφή απάντησης: </t>
        </r>
        <r>
          <rPr>
            <b/>
            <sz val="8"/>
            <color indexed="8"/>
            <rFont val="Tahoma"/>
            <family val="2"/>
            <charset val="161"/>
          </rPr>
          <t>δεκαδικός</t>
        </r>
        <r>
          <rPr>
            <sz val="8"/>
            <color indexed="8"/>
            <rFont val="Tahoma"/>
            <family val="2"/>
            <charset val="161"/>
          </rPr>
          <t xml:space="preserve"> με </t>
        </r>
        <r>
          <rPr>
            <b/>
            <sz val="8"/>
            <color indexed="8"/>
            <rFont val="Tahoma"/>
            <family val="2"/>
            <charset val="161"/>
          </rPr>
          <t>1</t>
        </r>
        <r>
          <rPr>
            <sz val="8"/>
            <color indexed="8"/>
            <rFont val="Tahoma"/>
            <family val="2"/>
            <charset val="161"/>
          </rPr>
          <t xml:space="preserve"> δεκαδικό ψηφίο.</t>
        </r>
      </text>
    </comment>
    <comment ref="C242" authorId="0" shapeId="0">
      <text>
        <r>
          <rPr>
            <sz val="8"/>
            <color indexed="8"/>
            <rFont val="Tahoma"/>
            <family val="2"/>
            <charset val="161"/>
          </rPr>
          <t xml:space="preserve">Η απάντηση να έχει τη μορφή: </t>
        </r>
        <r>
          <rPr>
            <b/>
            <sz val="8"/>
            <color indexed="8"/>
            <rFont val="Tahoma"/>
            <family val="2"/>
            <charset val="161"/>
          </rPr>
          <t>"ξ%", (ξ:ακέ-ραιος).</t>
        </r>
      </text>
    </comment>
    <comment ref="C244" authorId="0" shapeId="0">
      <text>
        <r>
          <rPr>
            <sz val="8"/>
            <color indexed="8"/>
            <rFont val="Tahoma"/>
            <family val="2"/>
            <charset val="161"/>
          </rPr>
          <t xml:space="preserve">Η απάντηση είναι </t>
        </r>
        <r>
          <rPr>
            <b/>
            <sz val="8"/>
            <color indexed="8"/>
            <rFont val="Tahoma"/>
            <family val="2"/>
            <charset val="161"/>
          </rPr>
          <t>δεκαδι -κός</t>
        </r>
        <r>
          <rPr>
            <sz val="8"/>
            <color indexed="8"/>
            <rFont val="Tahoma"/>
            <family val="2"/>
            <charset val="161"/>
          </rPr>
          <t xml:space="preserve"> αριθμός με </t>
        </r>
        <r>
          <rPr>
            <b/>
            <sz val="8"/>
            <color indexed="8"/>
            <rFont val="Tahoma"/>
            <family val="2"/>
            <charset val="161"/>
          </rPr>
          <t>3</t>
        </r>
        <r>
          <rPr>
            <sz val="8"/>
            <color indexed="8"/>
            <rFont val="Tahoma"/>
            <family val="2"/>
            <charset val="161"/>
          </rPr>
          <t xml:space="preserve"> δεκαδικά ψηφία.</t>
        </r>
      </text>
    </comment>
    <comment ref="C262" authorId="0" shapeId="0">
      <text>
        <r>
          <rPr>
            <sz val="8"/>
            <color indexed="8"/>
            <rFont val="Tahoma"/>
            <family val="2"/>
            <charset val="161"/>
          </rPr>
          <t xml:space="preserve">Η απάντηση είναι </t>
        </r>
        <r>
          <rPr>
            <b/>
            <sz val="8"/>
            <color indexed="8"/>
            <rFont val="Tahoma"/>
            <family val="2"/>
            <charset val="161"/>
          </rPr>
          <t>δεκαδικός</t>
        </r>
        <r>
          <rPr>
            <sz val="8"/>
            <color indexed="8"/>
            <rFont val="Tahoma"/>
            <family val="2"/>
            <charset val="161"/>
          </rPr>
          <t xml:space="preserve"> με </t>
        </r>
        <r>
          <rPr>
            <b/>
            <sz val="8"/>
            <color indexed="8"/>
            <rFont val="Tahoma"/>
            <family val="2"/>
            <charset val="161"/>
          </rPr>
          <t>1</t>
        </r>
        <r>
          <rPr>
            <sz val="8"/>
            <color indexed="8"/>
            <rFont val="Tahoma"/>
            <family val="2"/>
            <charset val="161"/>
          </rPr>
          <t xml:space="preserve"> δεκαδικό ψηφίο.</t>
        </r>
      </text>
    </comment>
    <comment ref="C292" authorId="0" shapeId="0">
      <text>
        <r>
          <rPr>
            <sz val="8"/>
            <color indexed="8"/>
            <rFont val="Tahoma"/>
            <family val="2"/>
            <charset val="161"/>
          </rPr>
          <t xml:space="preserve">Η τιμή της ζητούμενης </t>
        </r>
        <r>
          <rPr>
            <b/>
            <sz val="8"/>
            <color indexed="8"/>
            <rFont val="Tahoma"/>
            <family val="2"/>
            <charset val="161"/>
          </rPr>
          <t>K</t>
        </r>
        <r>
          <rPr>
            <b/>
            <vertAlign val="subscript"/>
            <sz val="8"/>
            <color indexed="8"/>
            <rFont val="Tahoma"/>
            <family val="2"/>
            <charset val="161"/>
          </rPr>
          <t>C</t>
        </r>
        <r>
          <rPr>
            <sz val="8"/>
            <color indexed="8"/>
            <rFont val="Tahoma"/>
            <family val="2"/>
            <charset val="161"/>
          </rPr>
          <t xml:space="preserve"> είναι </t>
        </r>
        <r>
          <rPr>
            <b/>
            <sz val="8"/>
            <color indexed="8"/>
            <rFont val="Tahoma"/>
            <family val="2"/>
            <charset val="161"/>
          </rPr>
          <t>ακέραιος</t>
        </r>
        <r>
          <rPr>
            <sz val="8"/>
            <color indexed="8"/>
            <rFont val="Tahoma"/>
            <family val="2"/>
            <charset val="161"/>
          </rPr>
          <t xml:space="preserve"> αριθμός.</t>
        </r>
      </text>
    </comment>
    <comment ref="C295" authorId="0" shapeId="0">
      <text>
        <r>
          <rPr>
            <sz val="8"/>
            <color indexed="8"/>
            <rFont val="Tahoma"/>
            <family val="2"/>
            <charset val="161"/>
          </rPr>
          <t xml:space="preserve">Η τιμή της σταθεράς που θα ανα-γραφεί στο κελί </t>
        </r>
        <r>
          <rPr>
            <b/>
            <sz val="8"/>
            <color indexed="8"/>
            <rFont val="Tahoma"/>
            <family val="2"/>
            <charset val="161"/>
          </rPr>
          <t>H295</t>
        </r>
        <r>
          <rPr>
            <sz val="8"/>
            <color indexed="8"/>
            <rFont val="Tahoma"/>
            <family val="2"/>
            <charset val="161"/>
          </rPr>
          <t xml:space="preserve"> πρέπει να έχει τη μορφή </t>
        </r>
        <r>
          <rPr>
            <b/>
            <sz val="8"/>
            <color indexed="8"/>
            <rFont val="Tahoma"/>
            <family val="2"/>
            <charset val="161"/>
          </rPr>
          <t>ανάγωγου κλά-σματος,</t>
        </r>
        <r>
          <rPr>
            <sz val="8"/>
            <color indexed="8"/>
            <rFont val="Tahoma"/>
            <family val="2"/>
            <charset val="161"/>
          </rPr>
          <t xml:space="preserve"> όπως π.χ. το κλάσμα </t>
        </r>
        <r>
          <rPr>
            <b/>
            <sz val="8"/>
            <color indexed="8"/>
            <rFont val="Tahoma"/>
            <family val="2"/>
            <charset val="161"/>
          </rPr>
          <t>"3/40".</t>
        </r>
      </text>
    </comment>
    <comment ref="C317" authorId="0" shapeId="0">
      <text>
        <r>
          <rPr>
            <sz val="8"/>
            <color indexed="8"/>
            <rFont val="Tahoma"/>
            <family val="2"/>
            <charset val="161"/>
          </rPr>
          <t xml:space="preserve">Μορφή απάντησης: </t>
        </r>
        <r>
          <rPr>
            <b/>
            <sz val="8"/>
            <color indexed="8"/>
            <rFont val="Tahoma"/>
            <family val="2"/>
            <charset val="161"/>
          </rPr>
          <t>δεκαδικός με 1 δεκαδικό ψηφίο.</t>
        </r>
      </text>
    </comment>
    <comment ref="C451" authorId="0" shapeId="0">
      <text>
        <r>
          <rPr>
            <sz val="8"/>
            <color indexed="8"/>
            <rFont val="Tahoma"/>
            <family val="2"/>
            <charset val="161"/>
          </rPr>
          <t xml:space="preserve">Οι αριθμητικές τιμές των ποσο-τήτων που θα αναγραφούν στα κελιά </t>
        </r>
        <r>
          <rPr>
            <b/>
            <sz val="8"/>
            <color indexed="8"/>
            <rFont val="Tahoma"/>
            <family val="2"/>
            <charset val="161"/>
          </rPr>
          <t>D450, F450</t>
        </r>
        <r>
          <rPr>
            <sz val="8"/>
            <color indexed="8"/>
            <rFont val="Tahoma"/>
            <family val="2"/>
            <charset val="161"/>
          </rPr>
          <t xml:space="preserve"> και </t>
        </r>
        <r>
          <rPr>
            <b/>
            <sz val="8"/>
            <color indexed="8"/>
            <rFont val="Tahoma"/>
            <family val="2"/>
            <charset val="161"/>
          </rPr>
          <t>H450,</t>
        </r>
        <r>
          <rPr>
            <sz val="8"/>
            <color indexed="8"/>
            <rFont val="Tahoma"/>
            <family val="2"/>
            <charset val="161"/>
          </rPr>
          <t xml:space="preserve"> πρέπει να βρίσκονται </t>
        </r>
        <r>
          <rPr>
            <b/>
            <sz val="8"/>
            <color indexed="8"/>
            <rFont val="Tahoma"/>
            <family val="2"/>
            <charset val="161"/>
          </rPr>
          <t>μέσα σε παρένθεση.</t>
        </r>
      </text>
    </comment>
    <comment ref="E453" authorId="0" shapeId="0">
      <text>
        <r>
          <rPr>
            <sz val="8"/>
            <color indexed="8"/>
            <rFont val="Tahoma"/>
            <family val="2"/>
            <charset val="161"/>
          </rPr>
          <t xml:space="preserve">Η απάντηση στο κελί </t>
        </r>
        <r>
          <rPr>
            <b/>
            <sz val="8"/>
            <color indexed="8"/>
            <rFont val="Tahoma"/>
            <family val="2"/>
            <charset val="161"/>
          </rPr>
          <t>H453</t>
        </r>
        <r>
          <rPr>
            <sz val="8"/>
            <color indexed="8"/>
            <rFont val="Tahoma"/>
            <family val="2"/>
            <charset val="161"/>
          </rPr>
          <t xml:space="preserve"> είναι </t>
        </r>
        <r>
          <rPr>
            <b/>
            <sz val="8"/>
            <color indexed="8"/>
            <rFont val="Tahoma"/>
            <family val="2"/>
            <charset val="161"/>
          </rPr>
          <t>δεκαδικός</t>
        </r>
        <r>
          <rPr>
            <sz val="8"/>
            <color indexed="8"/>
            <rFont val="Tahoma"/>
            <family val="2"/>
            <charset val="161"/>
          </rPr>
          <t xml:space="preserve"> αριθμός με </t>
        </r>
        <r>
          <rPr>
            <b/>
            <sz val="8"/>
            <color indexed="8"/>
            <rFont val="Tahoma"/>
            <family val="2"/>
            <charset val="161"/>
          </rPr>
          <t>1</t>
        </r>
        <r>
          <rPr>
            <sz val="8"/>
            <color indexed="8"/>
            <rFont val="Tahoma"/>
            <family val="2"/>
            <charset val="161"/>
          </rPr>
          <t xml:space="preserve"> δεκαδικό ψηφίο.</t>
        </r>
      </text>
    </comment>
    <comment ref="M456" authorId="1" shapeId="0">
      <text>
        <r>
          <rPr>
            <sz val="8"/>
            <color indexed="81"/>
            <rFont val="Tahoma"/>
            <family val="2"/>
            <charset val="161"/>
          </rPr>
          <t xml:space="preserve">
Για να εμφανιστεί η λύση του προβλήματος </t>
        </r>
        <r>
          <rPr>
            <b/>
            <sz val="8"/>
            <color indexed="81"/>
            <rFont val="Tahoma"/>
            <family val="2"/>
            <charset val="161"/>
          </rPr>
          <t>8β,</t>
        </r>
        <r>
          <rPr>
            <sz val="8"/>
            <color indexed="81"/>
            <rFont val="Tahoma"/>
            <family val="2"/>
            <charset val="161"/>
          </rPr>
          <t xml:space="preserve"> γράψε τη λέξη </t>
        </r>
        <r>
          <rPr>
            <b/>
            <sz val="8"/>
            <color indexed="81"/>
            <rFont val="Tahoma"/>
            <family val="2"/>
            <charset val="161"/>
          </rPr>
          <t>"ναι"</t>
        </r>
        <r>
          <rPr>
            <sz val="8"/>
            <color indexed="81"/>
            <rFont val="Tahoma"/>
            <family val="2"/>
            <charset val="161"/>
          </rPr>
          <t xml:space="preserve"> στο κελί </t>
        </r>
        <r>
          <rPr>
            <b/>
            <sz val="8"/>
            <color indexed="81"/>
            <rFont val="Tahoma"/>
            <family val="2"/>
            <charset val="161"/>
          </rPr>
          <t>Μ459.</t>
        </r>
      </text>
    </comment>
    <comment ref="C463" authorId="0" shapeId="0">
      <text>
        <r>
          <rPr>
            <sz val="8"/>
            <color indexed="8"/>
            <rFont val="Tahoma"/>
            <family val="2"/>
            <charset val="161"/>
          </rPr>
          <t xml:space="preserve">Οι αριθμητικές τιμές των ποσο-τήτων που θα αναγραφούν στα κελιά </t>
        </r>
        <r>
          <rPr>
            <b/>
            <sz val="8"/>
            <color indexed="8"/>
            <rFont val="Tahoma"/>
            <family val="2"/>
            <charset val="161"/>
          </rPr>
          <t>D463</t>
        </r>
        <r>
          <rPr>
            <sz val="8"/>
            <color indexed="8"/>
            <rFont val="Tahoma"/>
            <family val="2"/>
            <charset val="161"/>
          </rPr>
          <t xml:space="preserve"> και </t>
        </r>
        <r>
          <rPr>
            <b/>
            <sz val="8"/>
            <color indexed="8"/>
            <rFont val="Tahoma"/>
            <family val="2"/>
            <charset val="161"/>
          </rPr>
          <t>F463,</t>
        </r>
        <r>
          <rPr>
            <sz val="8"/>
            <color indexed="8"/>
            <rFont val="Tahoma"/>
            <family val="2"/>
            <charset val="161"/>
          </rPr>
          <t xml:space="preserve"> πρέπει να βρίσκονται μέσα σε </t>
        </r>
        <r>
          <rPr>
            <b/>
            <sz val="8"/>
            <color indexed="8"/>
            <rFont val="Tahoma"/>
            <family val="2"/>
            <charset val="161"/>
          </rPr>
          <t>παρένθεση.</t>
        </r>
      </text>
    </comment>
    <comment ref="C477" authorId="0" shapeId="0">
      <text>
        <r>
          <rPr>
            <sz val="8"/>
            <color indexed="8"/>
            <rFont val="Tahoma"/>
            <family val="2"/>
            <charset val="161"/>
          </rPr>
          <t xml:space="preserve">Στα κελιά </t>
        </r>
        <r>
          <rPr>
            <b/>
            <sz val="8"/>
            <color indexed="8"/>
            <rFont val="Tahoma"/>
            <family val="2"/>
            <charset val="161"/>
          </rPr>
          <t>H477</t>
        </r>
        <r>
          <rPr>
            <sz val="8"/>
            <color indexed="8"/>
            <rFont val="Tahoma"/>
            <family val="2"/>
            <charset val="161"/>
          </rPr>
          <t xml:space="preserve"> και </t>
        </r>
        <r>
          <rPr>
            <b/>
            <sz val="8"/>
            <color indexed="8"/>
            <rFont val="Tahoma"/>
            <family val="2"/>
            <charset val="161"/>
          </rPr>
          <t>H483</t>
        </r>
        <r>
          <rPr>
            <sz val="8"/>
            <color indexed="8"/>
            <rFont val="Tahoma"/>
            <family val="2"/>
            <charset val="161"/>
          </rPr>
          <t xml:space="preserve"> οι απαντήσεις είναι </t>
        </r>
        <r>
          <rPr>
            <b/>
            <sz val="8"/>
            <color indexed="8"/>
            <rFont val="Tahoma"/>
            <family val="2"/>
            <charset val="161"/>
          </rPr>
          <t>δεκα-δικοί</t>
        </r>
        <r>
          <rPr>
            <sz val="8"/>
            <color indexed="8"/>
            <rFont val="Tahoma"/>
            <family val="2"/>
            <charset val="161"/>
          </rPr>
          <t xml:space="preserve"> αριθμοί με </t>
        </r>
        <r>
          <rPr>
            <b/>
            <sz val="8"/>
            <color indexed="8"/>
            <rFont val="Tahoma"/>
            <family val="2"/>
            <charset val="161"/>
          </rPr>
          <t>1</t>
        </r>
        <r>
          <rPr>
            <sz val="8"/>
            <color indexed="8"/>
            <rFont val="Tahoma"/>
            <family val="2"/>
            <charset val="161"/>
          </rPr>
          <t xml:space="preserve"> δεκαδι-κό ψηφίο.</t>
        </r>
      </text>
    </comment>
    <comment ref="C480" authorId="0" shapeId="0">
      <text>
        <r>
          <rPr>
            <sz val="8"/>
            <color indexed="8"/>
            <rFont val="Tahoma"/>
            <family val="2"/>
            <charset val="161"/>
          </rPr>
          <t xml:space="preserve">Στο κελί </t>
        </r>
        <r>
          <rPr>
            <b/>
            <sz val="8"/>
            <color indexed="8"/>
            <rFont val="Tahoma"/>
            <family val="2"/>
            <charset val="161"/>
          </rPr>
          <t>H480</t>
        </r>
        <r>
          <rPr>
            <sz val="8"/>
            <color indexed="8"/>
            <rFont val="Tahoma"/>
            <family val="2"/>
            <charset val="161"/>
          </rPr>
          <t xml:space="preserve"> πρέπει να γραφεί </t>
        </r>
        <r>
          <rPr>
            <b/>
            <sz val="8"/>
            <color indexed="8"/>
            <rFont val="Tahoma"/>
            <family val="2"/>
            <charset val="161"/>
          </rPr>
          <t>"θ1"</t>
        </r>
        <r>
          <rPr>
            <sz val="8"/>
            <color indexed="8"/>
            <rFont val="Tahoma"/>
            <family val="2"/>
            <charset val="161"/>
          </rPr>
          <t xml:space="preserve"> ή </t>
        </r>
        <r>
          <rPr>
            <b/>
            <sz val="8"/>
            <color indexed="8"/>
            <rFont val="Tahoma"/>
            <family val="2"/>
            <charset val="161"/>
          </rPr>
          <t>"θ2",</t>
        </r>
        <r>
          <rPr>
            <sz val="8"/>
            <color indexed="8"/>
            <rFont val="Tahoma"/>
            <family val="2"/>
            <charset val="161"/>
          </rPr>
          <t xml:space="preserve"> </t>
        </r>
        <r>
          <rPr>
            <b/>
            <sz val="8"/>
            <color indexed="8"/>
            <rFont val="Tahoma"/>
            <family val="2"/>
            <charset val="161"/>
          </rPr>
          <t>(ελληνικό αλφάβη-το).</t>
        </r>
      </text>
    </comment>
    <comment ref="M488" authorId="1" shapeId="0">
      <text>
        <r>
          <rPr>
            <sz val="8"/>
            <color indexed="8"/>
            <rFont val="Tahoma"/>
            <family val="2"/>
            <charset val="161"/>
          </rPr>
          <t xml:space="preserve">
Για να εμφανιστεί η λύση του προβλήματος </t>
        </r>
        <r>
          <rPr>
            <b/>
            <sz val="8"/>
            <color indexed="8"/>
            <rFont val="Tahoma"/>
            <family val="2"/>
            <charset val="161"/>
          </rPr>
          <t>8γ,</t>
        </r>
        <r>
          <rPr>
            <sz val="8"/>
            <color indexed="8"/>
            <rFont val="Tahoma"/>
            <family val="2"/>
            <charset val="161"/>
          </rPr>
          <t xml:space="preserve"> γράψε τη λέξη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Μ491.</t>
        </r>
      </text>
    </comment>
    <comment ref="C495" authorId="0" shapeId="0">
      <text>
        <r>
          <rPr>
            <sz val="8"/>
            <color indexed="8"/>
            <rFont val="Tahoma"/>
            <family val="2"/>
            <charset val="161"/>
          </rPr>
          <t xml:space="preserve">
Οι αριθμητικές τιμές των ποσοτήτων που θα αναγραφούν στα κελιά </t>
        </r>
        <r>
          <rPr>
            <b/>
            <sz val="8"/>
            <color indexed="8"/>
            <rFont val="Tahoma"/>
            <family val="2"/>
            <charset val="161"/>
          </rPr>
          <t>D495, F495</t>
        </r>
        <r>
          <rPr>
            <sz val="8"/>
            <color indexed="8"/>
            <rFont val="Tahoma"/>
            <family val="2"/>
            <charset val="161"/>
          </rPr>
          <t xml:space="preserve"> και </t>
        </r>
        <r>
          <rPr>
            <b/>
            <sz val="8"/>
            <color indexed="8"/>
            <rFont val="Tahoma"/>
            <family val="2"/>
            <charset val="161"/>
          </rPr>
          <t>H495,</t>
        </r>
        <r>
          <rPr>
            <sz val="8"/>
            <color indexed="8"/>
            <rFont val="Tahoma"/>
            <family val="2"/>
            <charset val="161"/>
          </rPr>
          <t xml:space="preserve"> πρέπει να βρίσκονται μέσα σε </t>
        </r>
        <r>
          <rPr>
            <b/>
            <sz val="8"/>
            <color indexed="8"/>
            <rFont val="Tahoma"/>
            <family val="2"/>
            <charset val="161"/>
          </rPr>
          <t>παρένθεση.</t>
        </r>
      </text>
    </comment>
    <comment ref="C503" authorId="0" shapeId="0">
      <text>
        <r>
          <rPr>
            <sz val="8"/>
            <color indexed="8"/>
            <rFont val="Tahoma"/>
            <family val="2"/>
            <charset val="161"/>
          </rPr>
          <t xml:space="preserve">Η απάντηση στο κελί </t>
        </r>
        <r>
          <rPr>
            <b/>
            <sz val="8"/>
            <color indexed="8"/>
            <rFont val="Tahoma"/>
            <family val="2"/>
            <charset val="161"/>
          </rPr>
          <t>H503</t>
        </r>
        <r>
          <rPr>
            <sz val="8"/>
            <color indexed="8"/>
            <rFont val="Tahoma"/>
            <family val="2"/>
            <charset val="161"/>
          </rPr>
          <t xml:space="preserve"> είναι </t>
        </r>
        <r>
          <rPr>
            <b/>
            <sz val="8"/>
            <color indexed="8"/>
            <rFont val="Tahoma"/>
            <family val="2"/>
            <charset val="161"/>
          </rPr>
          <t>ακέραιος.</t>
        </r>
      </text>
    </comment>
    <comment ref="C506" authorId="0" shapeId="0">
      <text>
        <r>
          <rPr>
            <sz val="8"/>
            <color indexed="8"/>
            <rFont val="Tahoma"/>
            <family val="2"/>
            <charset val="161"/>
          </rPr>
          <t xml:space="preserve">Στα κελιά </t>
        </r>
        <r>
          <rPr>
            <b/>
            <sz val="8"/>
            <color indexed="8"/>
            <rFont val="Tahoma"/>
            <family val="2"/>
            <charset val="161"/>
          </rPr>
          <t>I506</t>
        </r>
        <r>
          <rPr>
            <sz val="8"/>
            <color indexed="8"/>
            <rFont val="Tahoma"/>
            <family val="2"/>
            <charset val="161"/>
          </rPr>
          <t xml:space="preserve"> και </t>
        </r>
        <r>
          <rPr>
            <b/>
            <sz val="8"/>
            <color indexed="8"/>
            <rFont val="Tahoma"/>
            <family val="2"/>
            <charset val="161"/>
          </rPr>
          <t>I507</t>
        </r>
        <r>
          <rPr>
            <sz val="8"/>
            <color indexed="8"/>
            <rFont val="Tahoma"/>
            <family val="2"/>
            <charset val="161"/>
          </rPr>
          <t xml:space="preserve"> πρέπει να γραφεί </t>
        </r>
        <r>
          <rPr>
            <b/>
            <sz val="8"/>
            <color indexed="8"/>
            <rFont val="Tahoma"/>
            <family val="2"/>
            <charset val="161"/>
          </rPr>
          <t>"Λ"</t>
        </r>
        <r>
          <rPr>
            <sz val="8"/>
            <color indexed="8"/>
            <rFont val="Tahoma"/>
            <family val="2"/>
            <charset val="161"/>
          </rPr>
          <t xml:space="preserve"> ή </t>
        </r>
        <r>
          <rPr>
            <b/>
            <sz val="8"/>
            <color indexed="8"/>
            <rFont val="Tahoma"/>
            <family val="2"/>
            <charset val="161"/>
          </rPr>
          <t>"Σ".</t>
        </r>
      </text>
    </comment>
    <comment ref="C509" authorId="0" shapeId="0">
      <text>
        <r>
          <rPr>
            <sz val="8"/>
            <color indexed="8"/>
            <rFont val="Tahoma"/>
            <family val="2"/>
            <charset val="161"/>
          </rPr>
          <t xml:space="preserve">Η ζητούμενη τιμή είναι </t>
        </r>
        <r>
          <rPr>
            <b/>
            <sz val="8"/>
            <color indexed="8"/>
            <rFont val="Tahoma"/>
            <family val="2"/>
            <charset val="161"/>
          </rPr>
          <t>δεκαδικός</t>
        </r>
        <r>
          <rPr>
            <sz val="8"/>
            <color indexed="8"/>
            <rFont val="Tahoma"/>
            <family val="2"/>
            <charset val="161"/>
          </rPr>
          <t xml:space="preserve"> με </t>
        </r>
        <r>
          <rPr>
            <b/>
            <sz val="8"/>
            <color indexed="8"/>
            <rFont val="Tahoma"/>
            <family val="2"/>
            <charset val="161"/>
          </rPr>
          <t>1</t>
        </r>
        <r>
          <rPr>
            <sz val="8"/>
            <color indexed="8"/>
            <rFont val="Tahoma"/>
            <family val="2"/>
            <charset val="161"/>
          </rPr>
          <t xml:space="preserve"> δεκα-δικό ψηφίο.</t>
        </r>
      </text>
    </comment>
    <comment ref="M513" authorId="1" shapeId="0">
      <text>
        <r>
          <rPr>
            <sz val="8"/>
            <color indexed="8"/>
            <rFont val="Tahoma"/>
            <family val="2"/>
            <charset val="161"/>
          </rPr>
          <t xml:space="preserve">
Για να δεις τη λύση του προβλήματος </t>
        </r>
        <r>
          <rPr>
            <b/>
            <sz val="8"/>
            <color indexed="8"/>
            <rFont val="Tahoma"/>
            <family val="2"/>
            <charset val="161"/>
          </rPr>
          <t>8δ,</t>
        </r>
        <r>
          <rPr>
            <sz val="8"/>
            <color indexed="8"/>
            <rFont val="Tahoma"/>
            <family val="2"/>
            <charset val="161"/>
          </rPr>
          <t xml:space="preserve"> γράψε τη λέξη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Μ516.</t>
        </r>
      </text>
    </comment>
    <comment ref="C525" authorId="0" shapeId="0">
      <text>
        <r>
          <rPr>
            <sz val="8"/>
            <color indexed="8"/>
            <rFont val="Tahoma"/>
            <family val="2"/>
            <charset val="161"/>
          </rPr>
          <t xml:space="preserve">Οι ποσότητες που θα αναγραφούν στα κατάλληλα κελιά, στον παραπάνω πίνα-κα, θα πρέπει να είναι της μορφής: </t>
        </r>
        <r>
          <rPr>
            <b/>
            <sz val="8"/>
            <color indexed="8"/>
            <rFont val="Tahoma"/>
            <family val="2"/>
            <charset val="161"/>
          </rPr>
          <t>"amol" (a: δεκαδικός με 1 δεκαδ. ψηφίο), π.χ. "0,2mol".</t>
        </r>
      </text>
    </comment>
    <comment ref="C549" authorId="0" shapeId="0">
      <text>
        <r>
          <rPr>
            <sz val="8"/>
            <color indexed="8"/>
            <rFont val="Tahoma"/>
            <family val="2"/>
            <charset val="161"/>
          </rPr>
          <t xml:space="preserve">Στα κελιά </t>
        </r>
        <r>
          <rPr>
            <b/>
            <sz val="8"/>
            <color indexed="8"/>
            <rFont val="Tahoma"/>
            <family val="2"/>
            <charset val="161"/>
          </rPr>
          <t>I549</t>
        </r>
        <r>
          <rPr>
            <sz val="8"/>
            <color indexed="8"/>
            <rFont val="Tahoma"/>
            <family val="2"/>
            <charset val="161"/>
          </rPr>
          <t xml:space="preserve"> και </t>
        </r>
        <r>
          <rPr>
            <b/>
            <sz val="8"/>
            <color indexed="8"/>
            <rFont val="Tahoma"/>
            <family val="2"/>
            <charset val="161"/>
          </rPr>
          <t>I550</t>
        </r>
        <r>
          <rPr>
            <sz val="8"/>
            <color indexed="8"/>
            <rFont val="Tahoma"/>
            <family val="2"/>
            <charset val="161"/>
          </rPr>
          <t xml:space="preserve">  θα πρέπει να γραφεί </t>
        </r>
        <r>
          <rPr>
            <b/>
            <sz val="8"/>
            <color indexed="8"/>
            <rFont val="Tahoma"/>
            <family val="2"/>
            <charset val="161"/>
          </rPr>
          <t>"Σ"</t>
        </r>
        <r>
          <rPr>
            <sz val="8"/>
            <color indexed="8"/>
            <rFont val="Tahoma"/>
            <family val="2"/>
            <charset val="161"/>
          </rPr>
          <t xml:space="preserve"> ή </t>
        </r>
        <r>
          <rPr>
            <b/>
            <sz val="8"/>
            <color indexed="8"/>
            <rFont val="Tahoma"/>
            <family val="2"/>
            <charset val="161"/>
          </rPr>
          <t>"Λ".</t>
        </r>
      </text>
    </comment>
    <comment ref="C554" authorId="0" shapeId="0">
      <text>
        <r>
          <rPr>
            <sz val="8"/>
            <color indexed="8"/>
            <rFont val="Tahoma"/>
            <family val="2"/>
            <charset val="161"/>
          </rPr>
          <t xml:space="preserve">Η ζητούμενη τιμή που πρέπει να γραφεί στο κελί </t>
        </r>
        <r>
          <rPr>
            <b/>
            <sz val="8"/>
            <color indexed="8"/>
            <rFont val="Tahoma"/>
            <family val="2"/>
            <charset val="161"/>
          </rPr>
          <t>H554,</t>
        </r>
        <r>
          <rPr>
            <sz val="8"/>
            <color indexed="8"/>
            <rFont val="Tahoma"/>
            <family val="2"/>
            <charset val="161"/>
          </rPr>
          <t xml:space="preserve"> είναι </t>
        </r>
        <r>
          <rPr>
            <b/>
            <sz val="8"/>
            <color indexed="8"/>
            <rFont val="Tahoma"/>
            <family val="2"/>
            <charset val="161"/>
          </rPr>
          <t>ακέραιος</t>
        </r>
        <r>
          <rPr>
            <sz val="8"/>
            <color indexed="8"/>
            <rFont val="Tahoma"/>
            <family val="2"/>
            <charset val="161"/>
          </rPr>
          <t xml:space="preserve"> αριθμός.</t>
        </r>
      </text>
    </comment>
    <comment ref="C573" authorId="0" shapeId="0">
      <text>
        <r>
          <rPr>
            <sz val="8"/>
            <color indexed="8"/>
            <rFont val="Tahoma"/>
            <family val="2"/>
            <charset val="161"/>
          </rPr>
          <t xml:space="preserve">Η απάντηση στα κελιά </t>
        </r>
        <r>
          <rPr>
            <b/>
            <sz val="8"/>
            <color indexed="8"/>
            <rFont val="Tahoma"/>
            <family val="2"/>
            <charset val="161"/>
          </rPr>
          <t>H573</t>
        </r>
        <r>
          <rPr>
            <sz val="8"/>
            <color indexed="8"/>
            <rFont val="Tahoma"/>
            <family val="2"/>
            <charset val="161"/>
          </rPr>
          <t xml:space="preserve"> και </t>
        </r>
        <r>
          <rPr>
            <b/>
            <sz val="8"/>
            <color indexed="8"/>
            <rFont val="Tahoma"/>
            <family val="2"/>
            <charset val="161"/>
          </rPr>
          <t>H576</t>
        </r>
        <r>
          <rPr>
            <sz val="8"/>
            <color indexed="8"/>
            <rFont val="Tahoma"/>
            <family val="2"/>
            <charset val="161"/>
          </rPr>
          <t xml:space="preserve"> είναι </t>
        </r>
        <r>
          <rPr>
            <b/>
            <sz val="8"/>
            <color indexed="8"/>
            <rFont val="Tahoma"/>
            <family val="2"/>
            <charset val="161"/>
          </rPr>
          <t>δεκαδικός</t>
        </r>
        <r>
          <rPr>
            <sz val="8"/>
            <color indexed="8"/>
            <rFont val="Tahoma"/>
            <family val="2"/>
            <charset val="161"/>
          </rPr>
          <t xml:space="preserve"> α-ριθμός με </t>
        </r>
        <r>
          <rPr>
            <b/>
            <sz val="8"/>
            <color indexed="8"/>
            <rFont val="Tahoma"/>
            <family val="2"/>
            <charset val="161"/>
          </rPr>
          <t>3</t>
        </r>
        <r>
          <rPr>
            <sz val="8"/>
            <color indexed="8"/>
            <rFont val="Tahoma"/>
            <family val="2"/>
            <charset val="161"/>
          </rPr>
          <t xml:space="preserve"> </t>
        </r>
        <r>
          <rPr>
            <b/>
            <sz val="8"/>
            <color indexed="8"/>
            <rFont val="Tahoma"/>
            <family val="2"/>
            <charset val="161"/>
          </rPr>
          <t>δεκαδ. ψηφία.</t>
        </r>
      </text>
    </comment>
    <comment ref="C580" authorId="0" shapeId="0">
      <text>
        <r>
          <rPr>
            <sz val="8"/>
            <color indexed="8"/>
            <rFont val="Tahoma"/>
            <family val="2"/>
            <charset val="161"/>
          </rPr>
          <t xml:space="preserve">Σε καθένα από τα κελιά </t>
        </r>
        <r>
          <rPr>
            <b/>
            <sz val="8"/>
            <color indexed="8"/>
            <rFont val="Tahoma"/>
            <family val="2"/>
            <charset val="161"/>
          </rPr>
          <t>I580,</t>
        </r>
        <r>
          <rPr>
            <sz val="8"/>
            <color indexed="8"/>
            <rFont val="Tahoma"/>
            <family val="2"/>
            <charset val="161"/>
          </rPr>
          <t xml:space="preserve"> </t>
        </r>
        <r>
          <rPr>
            <b/>
            <sz val="8"/>
            <color indexed="8"/>
            <rFont val="Tahoma"/>
            <family val="2"/>
            <charset val="161"/>
          </rPr>
          <t>I581</t>
        </r>
        <r>
          <rPr>
            <sz val="8"/>
            <color indexed="8"/>
            <rFont val="Tahoma"/>
            <family val="2"/>
            <charset val="161"/>
          </rPr>
          <t xml:space="preserve"> και </t>
        </r>
        <r>
          <rPr>
            <b/>
            <sz val="8"/>
            <color indexed="8"/>
            <rFont val="Tahoma"/>
            <family val="2"/>
            <charset val="161"/>
          </rPr>
          <t>I582</t>
        </r>
        <r>
          <rPr>
            <sz val="8"/>
            <color indexed="8"/>
            <rFont val="Tahoma"/>
            <family val="2"/>
            <charset val="161"/>
          </rPr>
          <t xml:space="preserve"> να γραφεί ή το γράμμα </t>
        </r>
        <r>
          <rPr>
            <b/>
            <sz val="8"/>
            <color indexed="8"/>
            <rFont val="Tahoma"/>
            <family val="2"/>
            <charset val="161"/>
          </rPr>
          <t>"Σ"</t>
        </r>
        <r>
          <rPr>
            <sz val="8"/>
            <color indexed="8"/>
            <rFont val="Tahoma"/>
            <family val="2"/>
            <charset val="161"/>
          </rPr>
          <t xml:space="preserve"> ή το γράμμα </t>
        </r>
        <r>
          <rPr>
            <b/>
            <sz val="8"/>
            <color indexed="8"/>
            <rFont val="Tahoma"/>
            <family val="2"/>
            <charset val="161"/>
          </rPr>
          <t>"Λ",</t>
        </r>
        <r>
          <rPr>
            <sz val="8"/>
            <color indexed="8"/>
            <rFont val="Tahoma"/>
            <family val="2"/>
            <charset val="161"/>
          </rPr>
          <t xml:space="preserve"> </t>
        </r>
        <r>
          <rPr>
            <b/>
            <sz val="8"/>
            <color indexed="8"/>
            <rFont val="Tahoma"/>
            <family val="2"/>
            <charset val="161"/>
          </rPr>
          <t>(Σωστό, Λάθος).</t>
        </r>
        <r>
          <rPr>
            <sz val="8"/>
            <color indexed="8"/>
            <rFont val="Tahoma"/>
            <family val="2"/>
            <charset val="161"/>
          </rPr>
          <t xml:space="preserve"> 
Το ίδιο να γίνει και για τις ασκήσεις </t>
        </r>
        <r>
          <rPr>
            <b/>
            <sz val="8"/>
            <color indexed="8"/>
            <rFont val="Tahoma"/>
            <family val="2"/>
            <charset val="161"/>
          </rPr>
          <t>9.β.,</t>
        </r>
        <r>
          <rPr>
            <sz val="8"/>
            <color indexed="8"/>
            <rFont val="Tahoma"/>
            <family val="2"/>
            <charset val="161"/>
          </rPr>
          <t xml:space="preserve"> </t>
        </r>
        <r>
          <rPr>
            <b/>
            <sz val="8"/>
            <color indexed="8"/>
            <rFont val="Tahoma"/>
            <family val="2"/>
            <charset val="161"/>
          </rPr>
          <t>9.γ.</t>
        </r>
        <r>
          <rPr>
            <sz val="8"/>
            <color indexed="8"/>
            <rFont val="Tahoma"/>
            <family val="2"/>
            <charset val="161"/>
          </rPr>
          <t xml:space="preserve"> και </t>
        </r>
        <r>
          <rPr>
            <b/>
            <sz val="8"/>
            <color indexed="8"/>
            <rFont val="Tahoma"/>
            <family val="2"/>
            <charset val="161"/>
          </rPr>
          <t>9.δ.</t>
        </r>
        <r>
          <rPr>
            <sz val="8"/>
            <color indexed="8"/>
            <rFont val="Tahoma"/>
            <family val="2"/>
            <charset val="161"/>
          </rPr>
          <t xml:space="preserve"> στα αντίστοιχα κελιά.</t>
        </r>
      </text>
    </comment>
    <comment ref="B639" authorId="0" shapeId="0">
      <text>
        <r>
          <rPr>
            <sz val="8"/>
            <color indexed="8"/>
            <rFont val="Tahoma"/>
            <family val="2"/>
            <charset val="161"/>
          </rPr>
          <t xml:space="preserve">Οι αριθμητικές τιμές των ποσοτή-των που θα αναγραφούν στα κε-λιά </t>
        </r>
        <r>
          <rPr>
            <b/>
            <sz val="8"/>
            <color indexed="8"/>
            <rFont val="Tahoma"/>
            <family val="2"/>
            <charset val="161"/>
          </rPr>
          <t>C639, E639, G639</t>
        </r>
        <r>
          <rPr>
            <sz val="8"/>
            <color indexed="8"/>
            <rFont val="Tahoma"/>
            <family val="2"/>
            <charset val="161"/>
          </rPr>
          <t xml:space="preserve"> και </t>
        </r>
        <r>
          <rPr>
            <b/>
            <sz val="8"/>
            <color indexed="8"/>
            <rFont val="Tahoma"/>
            <family val="2"/>
            <charset val="161"/>
          </rPr>
          <t>I639,</t>
        </r>
        <r>
          <rPr>
            <sz val="8"/>
            <color indexed="8"/>
            <rFont val="Tahoma"/>
            <family val="2"/>
            <charset val="161"/>
          </rPr>
          <t xml:space="preserve"> πρέπει να βρίσκονται μέσα σε </t>
        </r>
        <r>
          <rPr>
            <b/>
            <sz val="8"/>
            <color indexed="8"/>
            <rFont val="Tahoma"/>
            <family val="2"/>
            <charset val="161"/>
          </rPr>
          <t>πα-ρένθεση.</t>
        </r>
      </text>
    </comment>
    <comment ref="C648" authorId="0" shapeId="0">
      <text>
        <r>
          <rPr>
            <sz val="8"/>
            <color indexed="8"/>
            <rFont val="Tahoma"/>
            <family val="2"/>
            <charset val="161"/>
          </rPr>
          <t xml:space="preserve">Μορφή απάντησης: </t>
        </r>
        <r>
          <rPr>
            <b/>
            <sz val="8"/>
            <color indexed="8"/>
            <rFont val="Tahoma"/>
            <family val="2"/>
            <charset val="161"/>
          </rPr>
          <t>ακέραιος.</t>
        </r>
      </text>
    </comment>
    <comment ref="C651" authorId="0" shapeId="0">
      <text>
        <r>
          <rPr>
            <sz val="8"/>
            <color indexed="8"/>
            <rFont val="Tahoma"/>
            <family val="2"/>
            <charset val="161"/>
          </rPr>
          <t xml:space="preserve">Μορφή απάντησης: </t>
        </r>
        <r>
          <rPr>
            <b/>
            <sz val="8"/>
            <color indexed="8"/>
            <rFont val="Tahoma"/>
            <family val="2"/>
            <charset val="161"/>
          </rPr>
          <t>δεκαδικός (2 δεκαδ. ψηφία).</t>
        </r>
      </text>
    </comment>
    <comment ref="C656" authorId="0" shapeId="0">
      <text>
        <r>
          <rPr>
            <sz val="8"/>
            <color indexed="8"/>
            <rFont val="Tahoma"/>
            <family val="2"/>
            <charset val="161"/>
          </rPr>
          <t xml:space="preserve">Μορφή απάντησης: </t>
        </r>
        <r>
          <rPr>
            <b/>
            <sz val="8"/>
            <color indexed="8"/>
            <rFont val="Tahoma"/>
            <family val="2"/>
            <charset val="161"/>
          </rPr>
          <t>"δmol", (δ: δεκαδικός με 2 δεκαδ. ψηφία).</t>
        </r>
      </text>
    </comment>
    <comment ref="C670" authorId="0" shapeId="0">
      <text>
        <r>
          <rPr>
            <sz val="8"/>
            <color indexed="8"/>
            <rFont val="Tahoma"/>
            <family val="2"/>
            <charset val="161"/>
          </rPr>
          <t xml:space="preserve">Η απάντηση στα κελιά </t>
        </r>
        <r>
          <rPr>
            <b/>
            <sz val="8"/>
            <color indexed="8"/>
            <rFont val="Tahoma"/>
            <family val="2"/>
            <charset val="161"/>
          </rPr>
          <t>H670</t>
        </r>
        <r>
          <rPr>
            <sz val="8"/>
            <color indexed="8"/>
            <rFont val="Tahoma"/>
            <family val="2"/>
            <charset val="161"/>
          </rPr>
          <t xml:space="preserve"> και </t>
        </r>
        <r>
          <rPr>
            <b/>
            <sz val="8"/>
            <color indexed="8"/>
            <rFont val="Tahoma"/>
            <family val="2"/>
            <charset val="161"/>
          </rPr>
          <t>H672</t>
        </r>
        <r>
          <rPr>
            <sz val="8"/>
            <color indexed="8"/>
            <rFont val="Tahoma"/>
            <family val="2"/>
            <charset val="161"/>
          </rPr>
          <t xml:space="preserve"> πρέπει να είναι της μορφής </t>
        </r>
        <r>
          <rPr>
            <b/>
            <sz val="8"/>
            <color indexed="8"/>
            <rFont val="Tahoma"/>
            <family val="2"/>
            <charset val="161"/>
          </rPr>
          <t>"λatm",</t>
        </r>
        <r>
          <rPr>
            <sz val="8"/>
            <color indexed="8"/>
            <rFont val="Tahoma"/>
            <family val="2"/>
            <charset val="161"/>
          </rPr>
          <t xml:space="preserve"> </t>
        </r>
        <r>
          <rPr>
            <b/>
            <sz val="8"/>
            <color indexed="8"/>
            <rFont val="Tahoma"/>
            <family val="2"/>
            <charset val="161"/>
          </rPr>
          <t>(λ: ακέ-ραιος).</t>
        </r>
      </text>
    </comment>
    <comment ref="C674" authorId="0" shapeId="0">
      <text>
        <r>
          <rPr>
            <sz val="8"/>
            <color indexed="8"/>
            <rFont val="Tahoma"/>
            <family val="2"/>
            <charset val="161"/>
          </rPr>
          <t xml:space="preserve">Στο κελί </t>
        </r>
        <r>
          <rPr>
            <b/>
            <sz val="8"/>
            <color indexed="8"/>
            <rFont val="Tahoma"/>
            <family val="2"/>
            <charset val="161"/>
          </rPr>
          <t>H674</t>
        </r>
        <r>
          <rPr>
            <sz val="8"/>
            <color indexed="8"/>
            <rFont val="Tahoma"/>
            <family val="2"/>
            <charset val="161"/>
          </rPr>
          <t xml:space="preserve"> η απάντηση πρέπει      να είναι της μορφής: </t>
        </r>
        <r>
          <rPr>
            <b/>
            <sz val="8"/>
            <color indexed="8"/>
            <rFont val="Tahoma"/>
            <family val="2"/>
            <charset val="161"/>
          </rPr>
          <t xml:space="preserve">"αριθμ. τιμή (δεκαδ. με 1 δεκαδ. ψηφίο), μο-νάδα μέτρησης", π.χ. "3,2m/s^2, </t>
        </r>
        <r>
          <rPr>
            <sz val="8"/>
            <color indexed="8"/>
            <rFont val="Tahoma"/>
            <family val="2"/>
            <charset val="161"/>
          </rPr>
          <t>αν επρόκειτο για το μέγεθος της επι-τάχυνσης.</t>
        </r>
        <r>
          <rPr>
            <vertAlign val="superscript"/>
            <sz val="8"/>
            <color indexed="8"/>
            <rFont val="Tahoma"/>
            <family val="2"/>
            <charset val="161"/>
          </rPr>
          <t xml:space="preserve"> </t>
        </r>
        <r>
          <rPr>
            <sz val="8"/>
            <color indexed="8"/>
            <rFont val="Tahoma"/>
            <family val="2"/>
            <charset val="161"/>
          </rPr>
          <t xml:space="preserve">", δηλαδή οι εκθέτες των δυνάμεων αναγράφονται με το σύμ-βολο </t>
        </r>
        <r>
          <rPr>
            <b/>
            <sz val="8"/>
            <color indexed="8"/>
            <rFont val="Tahoma"/>
            <family val="2"/>
            <charset val="161"/>
          </rPr>
          <t>"^"</t>
        </r>
        <r>
          <rPr>
            <sz val="8"/>
            <color indexed="8"/>
            <rFont val="Tahoma"/>
            <family val="2"/>
            <charset val="161"/>
          </rPr>
          <t xml:space="preserve"> εμπρός τους. Για παράδειγ-μα, είναι </t>
        </r>
        <r>
          <rPr>
            <b/>
            <sz val="8"/>
            <color indexed="8"/>
            <rFont val="Tahoma"/>
            <family val="2"/>
            <charset val="161"/>
          </rPr>
          <t>2^3=8.</t>
        </r>
      </text>
    </comment>
    <comment ref="C686" authorId="0" shapeId="0">
      <text>
        <r>
          <rPr>
            <sz val="8"/>
            <color indexed="8"/>
            <rFont val="Tahoma"/>
            <family val="2"/>
            <charset val="161"/>
          </rPr>
          <t xml:space="preserve">Η απάντηση στα κελιά </t>
        </r>
        <r>
          <rPr>
            <b/>
            <sz val="8"/>
            <color indexed="8"/>
            <rFont val="Tahoma"/>
            <family val="2"/>
            <charset val="161"/>
          </rPr>
          <t>H686</t>
        </r>
        <r>
          <rPr>
            <sz val="8"/>
            <color indexed="8"/>
            <rFont val="Tahoma"/>
            <family val="2"/>
            <charset val="161"/>
          </rPr>
          <t xml:space="preserve"> και </t>
        </r>
        <r>
          <rPr>
            <b/>
            <sz val="8"/>
            <color indexed="8"/>
            <rFont val="Tahoma"/>
            <family val="2"/>
            <charset val="161"/>
          </rPr>
          <t>H688</t>
        </r>
        <r>
          <rPr>
            <sz val="8"/>
            <color indexed="8"/>
            <rFont val="Tahoma"/>
            <family val="2"/>
            <charset val="161"/>
          </rPr>
          <t xml:space="preserve">  θα πρέπει να είναι της μορφής </t>
        </r>
        <r>
          <rPr>
            <b/>
            <sz val="8"/>
            <color indexed="8"/>
            <rFont val="Tahoma"/>
            <family val="2"/>
            <charset val="161"/>
          </rPr>
          <t>"katm",</t>
        </r>
        <r>
          <rPr>
            <sz val="8"/>
            <color indexed="8"/>
            <rFont val="Tahoma"/>
            <family val="2"/>
            <charset val="161"/>
          </rPr>
          <t xml:space="preserve"> </t>
        </r>
        <r>
          <rPr>
            <b/>
            <sz val="8"/>
            <color indexed="8"/>
            <rFont val="Tahoma"/>
            <family val="2"/>
            <charset val="161"/>
          </rPr>
          <t>(k: ακέραιος).</t>
        </r>
      </text>
    </comment>
    <comment ref="M692" authorId="0" shapeId="0">
      <text>
        <r>
          <rPr>
            <b/>
            <sz val="8"/>
            <color indexed="8"/>
            <rFont val="Tahoma"/>
            <family val="2"/>
            <charset val="161"/>
          </rPr>
          <t>. .:</t>
        </r>
        <r>
          <rPr>
            <sz val="8"/>
            <color indexed="8"/>
            <rFont val="Tahoma"/>
            <family val="2"/>
            <charset val="161"/>
          </rPr>
          <t xml:space="preserve">
Για να εμφανιστεί η λύση του προβλήματος </t>
        </r>
        <r>
          <rPr>
            <b/>
            <sz val="8"/>
            <color indexed="8"/>
            <rFont val="Tahoma"/>
            <family val="2"/>
            <charset val="161"/>
          </rPr>
          <t>10γ,</t>
        </r>
        <r>
          <rPr>
            <sz val="8"/>
            <color indexed="8"/>
            <rFont val="Tahoma"/>
            <family val="2"/>
            <charset val="161"/>
          </rPr>
          <t xml:space="preserve"> πρέπει να γράψεις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M694.</t>
        </r>
      </text>
    </comment>
    <comment ref="C702" authorId="0" shapeId="0">
      <text>
        <r>
          <rPr>
            <sz val="8"/>
            <color indexed="8"/>
            <rFont val="Tahoma"/>
            <family val="2"/>
            <charset val="161"/>
          </rPr>
          <t xml:space="preserve">Σε καθένα απ' τα κελιά </t>
        </r>
        <r>
          <rPr>
            <b/>
            <sz val="8"/>
            <color indexed="8"/>
            <rFont val="Tahoma"/>
            <family val="2"/>
            <charset val="161"/>
          </rPr>
          <t>I702,</t>
        </r>
        <r>
          <rPr>
            <sz val="8"/>
            <color indexed="8"/>
            <rFont val="Tahoma"/>
            <family val="2"/>
            <charset val="161"/>
          </rPr>
          <t xml:space="preserve"> </t>
        </r>
        <r>
          <rPr>
            <b/>
            <sz val="8"/>
            <color indexed="8"/>
            <rFont val="Tahoma"/>
            <family val="2"/>
            <charset val="161"/>
          </rPr>
          <t>I703</t>
        </r>
        <r>
          <rPr>
            <sz val="8"/>
            <color indexed="8"/>
            <rFont val="Tahoma"/>
            <family val="2"/>
            <charset val="161"/>
          </rPr>
          <t xml:space="preserve"> και </t>
        </r>
        <r>
          <rPr>
            <b/>
            <sz val="8"/>
            <color indexed="8"/>
            <rFont val="Tahoma"/>
            <family val="2"/>
            <charset val="161"/>
          </rPr>
          <t>I704</t>
        </r>
        <r>
          <rPr>
            <sz val="8"/>
            <color indexed="8"/>
            <rFont val="Tahoma"/>
            <family val="2"/>
            <charset val="161"/>
          </rPr>
          <t xml:space="preserve"> πρέπει να γραφεί </t>
        </r>
        <r>
          <rPr>
            <b/>
            <sz val="8"/>
            <color indexed="8"/>
            <rFont val="Tahoma"/>
            <family val="2"/>
            <charset val="161"/>
          </rPr>
          <t>"Σ"</t>
        </r>
        <r>
          <rPr>
            <sz val="8"/>
            <color indexed="8"/>
            <rFont val="Tahoma"/>
            <family val="2"/>
            <charset val="161"/>
          </rPr>
          <t xml:space="preserve"> ή </t>
        </r>
        <r>
          <rPr>
            <b/>
            <sz val="8"/>
            <color indexed="8"/>
            <rFont val="Tahoma"/>
            <family val="2"/>
            <charset val="161"/>
          </rPr>
          <t>"Λ",</t>
        </r>
        <r>
          <rPr>
            <sz val="8"/>
            <color indexed="8"/>
            <rFont val="Tahoma"/>
            <family val="2"/>
            <charset val="161"/>
          </rPr>
          <t xml:space="preserve"> που θα υποδηλώνει ότι η ακριβώς δίπλα ανα-γραφόμενη σχέση είναι </t>
        </r>
        <r>
          <rPr>
            <b/>
            <sz val="8"/>
            <color indexed="8"/>
            <rFont val="Tahoma"/>
            <family val="2"/>
            <charset val="161"/>
          </rPr>
          <t>σωστή</t>
        </r>
        <r>
          <rPr>
            <sz val="8"/>
            <color indexed="8"/>
            <rFont val="Tahoma"/>
            <family val="2"/>
            <charset val="161"/>
          </rPr>
          <t xml:space="preserve"> ή </t>
        </r>
        <r>
          <rPr>
            <b/>
            <sz val="8"/>
            <color indexed="8"/>
            <rFont val="Tahoma"/>
            <family val="2"/>
            <charset val="161"/>
          </rPr>
          <t>λαν-θασμένη</t>
        </r>
        <r>
          <rPr>
            <sz val="8"/>
            <color indexed="8"/>
            <rFont val="Tahoma"/>
            <family val="2"/>
            <charset val="161"/>
          </rPr>
          <t xml:space="preserve"> αντίστοιχα.</t>
        </r>
      </text>
    </comment>
    <comment ref="C706" authorId="0" shapeId="0">
      <text>
        <r>
          <rPr>
            <sz val="8"/>
            <color indexed="8"/>
            <rFont val="Tahoma"/>
            <family val="2"/>
            <charset val="161"/>
          </rPr>
          <t xml:space="preserve">Η απάντηση στο κελί </t>
        </r>
        <r>
          <rPr>
            <b/>
            <sz val="8"/>
            <color indexed="8"/>
            <rFont val="Tahoma"/>
            <family val="2"/>
            <charset val="161"/>
          </rPr>
          <t>H706</t>
        </r>
        <r>
          <rPr>
            <sz val="8"/>
            <color indexed="8"/>
            <rFont val="Tahoma"/>
            <family val="2"/>
            <charset val="161"/>
          </rPr>
          <t xml:space="preserve"> πρέπει να έχει τη μορφή </t>
        </r>
        <r>
          <rPr>
            <b/>
            <sz val="8"/>
            <color indexed="8"/>
            <rFont val="Tahoma"/>
            <family val="2"/>
            <charset val="161"/>
          </rPr>
          <t>ανάγωγου κλάσματος,</t>
        </r>
        <r>
          <rPr>
            <sz val="8"/>
            <color indexed="8"/>
            <rFont val="Tahoma"/>
            <family val="2"/>
            <charset val="161"/>
          </rPr>
          <t xml:space="preserve"> π.χ. </t>
        </r>
        <r>
          <rPr>
            <b/>
            <sz val="8"/>
            <color indexed="8"/>
            <rFont val="Tahoma"/>
            <family val="2"/>
            <charset val="161"/>
          </rPr>
          <t>"2/5".</t>
        </r>
      </text>
    </comment>
    <comment ref="C709" authorId="0" shapeId="0">
      <text>
        <r>
          <rPr>
            <sz val="8"/>
            <color indexed="8"/>
            <rFont val="Tahoma"/>
            <family val="2"/>
            <charset val="161"/>
          </rPr>
          <t xml:space="preserve">Η απάντηση στο κελί </t>
        </r>
        <r>
          <rPr>
            <b/>
            <sz val="8"/>
            <color indexed="8"/>
            <rFont val="Tahoma"/>
            <family val="2"/>
            <charset val="161"/>
          </rPr>
          <t xml:space="preserve">H709 </t>
        </r>
        <r>
          <rPr>
            <sz val="8"/>
            <color indexed="8"/>
            <rFont val="Tahoma"/>
            <family val="2"/>
            <charset val="161"/>
          </rPr>
          <t>θα πρέπει να είναι της μορφής</t>
        </r>
        <r>
          <rPr>
            <b/>
            <sz val="8"/>
            <color indexed="8"/>
            <rFont val="Tahoma"/>
            <family val="2"/>
            <charset val="161"/>
          </rPr>
          <t xml:space="preserve"> "katm", (k: ακέραιος).</t>
        </r>
      </text>
    </comment>
    <comment ref="C712" authorId="0" shapeId="0">
      <text>
        <r>
          <rPr>
            <sz val="8"/>
            <color indexed="8"/>
            <rFont val="Tahoma"/>
            <family val="2"/>
            <charset val="161"/>
          </rPr>
          <t xml:space="preserve">
Μορφή απάντησης: </t>
        </r>
        <r>
          <rPr>
            <b/>
            <sz val="8"/>
            <color indexed="8"/>
            <rFont val="Tahoma"/>
            <family val="2"/>
            <charset val="161"/>
          </rPr>
          <t>"λatm", (λ: δεκαδικός με 1 δεκαδικό ψηφίο).</t>
        </r>
      </text>
    </comment>
    <comment ref="C714" authorId="0" shapeId="0">
      <text>
        <r>
          <rPr>
            <sz val="8"/>
            <color indexed="8"/>
            <rFont val="Tahoma"/>
            <family val="2"/>
            <charset val="161"/>
          </rPr>
          <t xml:space="preserve">
Μορφή απάντησης: </t>
        </r>
        <r>
          <rPr>
            <b/>
            <sz val="8"/>
            <color indexed="8"/>
            <rFont val="Tahoma"/>
            <family val="2"/>
            <charset val="161"/>
          </rPr>
          <t>"ξ%", (ξ: δεκαδικός με προσέγγιση 2ου δεκαδ. ψηφίου).</t>
        </r>
      </text>
    </comment>
    <comment ref="C717" authorId="0" shapeId="0">
      <text>
        <r>
          <rPr>
            <sz val="8"/>
            <color indexed="8"/>
            <rFont val="Tahoma"/>
            <family val="2"/>
            <charset val="161"/>
          </rPr>
          <t xml:space="preserve">
Μορφή απάντησης: </t>
        </r>
        <r>
          <rPr>
            <b/>
            <sz val="8"/>
            <color indexed="8"/>
            <rFont val="Tahoma"/>
            <family val="2"/>
            <charset val="161"/>
          </rPr>
          <t>"αριθμ. τιμή (δεκαδικός με 2 δεκαδικά ψηφία), μονάδα μέτρησης".</t>
        </r>
      </text>
    </comment>
    <comment ref="C733" authorId="0" shapeId="0">
      <text>
        <r>
          <rPr>
            <sz val="8"/>
            <color indexed="8"/>
            <rFont val="Tahoma"/>
            <family val="2"/>
            <charset val="161"/>
          </rPr>
          <t xml:space="preserve">
Μορφή απάντησης: </t>
        </r>
        <r>
          <rPr>
            <b/>
            <sz val="8"/>
            <color indexed="8"/>
            <rFont val="Tahoma"/>
            <family val="2"/>
            <charset val="161"/>
          </rPr>
          <t>δεκαδικός</t>
        </r>
        <r>
          <rPr>
            <sz val="8"/>
            <color indexed="8"/>
            <rFont val="Tahoma"/>
            <family val="2"/>
            <charset val="161"/>
          </rPr>
          <t xml:space="preserve"> με </t>
        </r>
        <r>
          <rPr>
            <b/>
            <sz val="8"/>
            <color indexed="8"/>
            <rFont val="Tahoma"/>
            <family val="2"/>
            <charset val="161"/>
          </rPr>
          <t>1 δεκαδ. ψηφίο.</t>
        </r>
      </text>
    </comment>
    <comment ref="C749" authorId="0" shapeId="0">
      <text>
        <r>
          <rPr>
            <sz val="8"/>
            <color indexed="8"/>
            <rFont val="Tahoma"/>
            <family val="2"/>
            <charset val="161"/>
          </rPr>
          <t xml:space="preserve">Μορφή απάντησης: </t>
        </r>
        <r>
          <rPr>
            <b/>
            <sz val="8"/>
            <color indexed="8"/>
            <rFont val="Tahoma"/>
            <family val="2"/>
            <charset val="161"/>
          </rPr>
          <t>δεκαδικός με 1 δεκαδικό ψηφίο.</t>
        </r>
      </text>
    </comment>
    <comment ref="C752" authorId="0" shapeId="0">
      <text>
        <r>
          <rPr>
            <sz val="8"/>
            <color indexed="8"/>
            <rFont val="Tahoma"/>
            <family val="2"/>
            <charset val="161"/>
          </rPr>
          <t xml:space="preserve">
Στα κελιά </t>
        </r>
        <r>
          <rPr>
            <b/>
            <sz val="8"/>
            <color indexed="8"/>
            <rFont val="Tahoma"/>
            <family val="2"/>
            <charset val="161"/>
          </rPr>
          <t xml:space="preserve">H752 </t>
        </r>
        <r>
          <rPr>
            <sz val="8"/>
            <color indexed="8"/>
            <rFont val="Tahoma"/>
            <family val="2"/>
            <charset val="161"/>
          </rPr>
          <t xml:space="preserve">και </t>
        </r>
        <r>
          <rPr>
            <b/>
            <sz val="8"/>
            <color indexed="8"/>
            <rFont val="Tahoma"/>
            <family val="2"/>
            <charset val="161"/>
          </rPr>
          <t>H761</t>
        </r>
        <r>
          <rPr>
            <sz val="8"/>
            <color indexed="8"/>
            <rFont val="Tahoma"/>
            <family val="2"/>
            <charset val="161"/>
          </rPr>
          <t xml:space="preserve"> η απάντηση πρέπει να έχει τη μορφή </t>
        </r>
        <r>
          <rPr>
            <b/>
            <sz val="8"/>
            <color indexed="8"/>
            <rFont val="Tahoma"/>
            <family val="2"/>
            <charset val="161"/>
          </rPr>
          <t>"katm", (k: α-κέραιος).</t>
        </r>
      </text>
    </comment>
    <comment ref="C757" authorId="0" shapeId="0">
      <text>
        <r>
          <rPr>
            <sz val="8"/>
            <color indexed="8"/>
            <rFont val="Tahoma"/>
            <family val="2"/>
            <charset val="161"/>
          </rPr>
          <t xml:space="preserve">
Σε καθένα απ' τα κελιά </t>
        </r>
        <r>
          <rPr>
            <b/>
            <sz val="8"/>
            <color indexed="8"/>
            <rFont val="Tahoma"/>
            <family val="2"/>
            <charset val="161"/>
          </rPr>
          <t>I757,</t>
        </r>
        <r>
          <rPr>
            <sz val="8"/>
            <color indexed="8"/>
            <rFont val="Tahoma"/>
            <family val="2"/>
            <charset val="161"/>
          </rPr>
          <t xml:space="preserve"> </t>
        </r>
        <r>
          <rPr>
            <b/>
            <sz val="8"/>
            <color indexed="8"/>
            <rFont val="Tahoma"/>
            <family val="2"/>
            <charset val="161"/>
          </rPr>
          <t>I758</t>
        </r>
        <r>
          <rPr>
            <sz val="8"/>
            <color indexed="8"/>
            <rFont val="Tahoma"/>
            <family val="2"/>
            <charset val="161"/>
          </rPr>
          <t xml:space="preserve"> και </t>
        </r>
        <r>
          <rPr>
            <b/>
            <sz val="8"/>
            <color indexed="8"/>
            <rFont val="Tahoma"/>
            <family val="2"/>
            <charset val="161"/>
          </rPr>
          <t>I759</t>
        </r>
        <r>
          <rPr>
            <sz val="8"/>
            <color indexed="8"/>
            <rFont val="Tahoma"/>
            <family val="2"/>
            <charset val="161"/>
          </rPr>
          <t xml:space="preserve"> πρέπει να γραφεί </t>
        </r>
        <r>
          <rPr>
            <b/>
            <sz val="8"/>
            <color indexed="8"/>
            <rFont val="Tahoma"/>
            <family val="2"/>
            <charset val="161"/>
          </rPr>
          <t>"Σ"</t>
        </r>
        <r>
          <rPr>
            <sz val="8"/>
            <color indexed="8"/>
            <rFont val="Tahoma"/>
            <family val="2"/>
            <charset val="161"/>
          </rPr>
          <t xml:space="preserve"> ή </t>
        </r>
        <r>
          <rPr>
            <b/>
            <sz val="8"/>
            <color indexed="8"/>
            <rFont val="Tahoma"/>
            <family val="2"/>
            <charset val="161"/>
          </rPr>
          <t>"Λ",</t>
        </r>
        <r>
          <rPr>
            <sz val="8"/>
            <color indexed="8"/>
            <rFont val="Tahoma"/>
            <family val="2"/>
            <charset val="161"/>
          </rPr>
          <t xml:space="preserve"> που θα υποδηλώνει ότι το περιεχόμενο του ακριβώς δίπλα ευρισκόμενου κελιού είναι </t>
        </r>
        <r>
          <rPr>
            <b/>
            <sz val="8"/>
            <color indexed="8"/>
            <rFont val="Tahoma"/>
            <family val="2"/>
            <charset val="161"/>
          </rPr>
          <t>σωστό</t>
        </r>
        <r>
          <rPr>
            <sz val="8"/>
            <color indexed="8"/>
            <rFont val="Tahoma"/>
            <family val="2"/>
            <charset val="161"/>
          </rPr>
          <t xml:space="preserve"> ή </t>
        </r>
        <r>
          <rPr>
            <b/>
            <sz val="8"/>
            <color indexed="8"/>
            <rFont val="Tahoma"/>
            <family val="2"/>
            <charset val="161"/>
          </rPr>
          <t>λανθασμένο</t>
        </r>
        <r>
          <rPr>
            <sz val="8"/>
            <color indexed="8"/>
            <rFont val="Tahoma"/>
            <family val="2"/>
            <charset val="161"/>
          </rPr>
          <t xml:space="preserve"> αντίστοιχα.</t>
        </r>
      </text>
    </comment>
    <comment ref="M766" authorId="0" shapeId="0">
      <text>
        <r>
          <rPr>
            <b/>
            <sz val="8"/>
            <color indexed="8"/>
            <rFont val="Tahoma"/>
            <family val="2"/>
            <charset val="161"/>
          </rPr>
          <t>. .:</t>
        </r>
        <r>
          <rPr>
            <sz val="8"/>
            <color indexed="8"/>
            <rFont val="Tahoma"/>
            <family val="2"/>
            <charset val="161"/>
          </rPr>
          <t xml:space="preserve">
Για να εμφανιστεί η λύση του προβλήματος </t>
        </r>
        <r>
          <rPr>
            <b/>
            <sz val="8"/>
            <color indexed="8"/>
            <rFont val="Tahoma"/>
            <family val="2"/>
            <charset val="161"/>
          </rPr>
          <t>11α,</t>
        </r>
        <r>
          <rPr>
            <sz val="8"/>
            <color indexed="8"/>
            <rFont val="Tahoma"/>
            <family val="2"/>
            <charset val="161"/>
          </rPr>
          <t xml:space="preserve"> πρέπει να γράψεις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M768.</t>
        </r>
      </text>
    </comment>
    <comment ref="C786" authorId="0" shapeId="0">
      <text>
        <r>
          <rPr>
            <sz val="8"/>
            <color indexed="8"/>
            <rFont val="Tahoma"/>
            <family val="2"/>
            <charset val="161"/>
          </rPr>
          <t xml:space="preserve">Σε όλα τα κελιά που έχουν χρώμα πορτοκαλί και βρίσκονται στην παρούσα άσκηση στη στήλη </t>
        </r>
        <r>
          <rPr>
            <b/>
            <sz val="8"/>
            <color indexed="8"/>
            <rFont val="Tahoma"/>
            <family val="2"/>
            <charset val="161"/>
          </rPr>
          <t>"I",</t>
        </r>
        <r>
          <rPr>
            <sz val="8"/>
            <color indexed="8"/>
            <rFont val="Tahoma"/>
            <family val="2"/>
            <charset val="161"/>
          </rPr>
          <t xml:space="preserve"> θα πρέπει να γραφεί κατά τα γνωστά, </t>
        </r>
        <r>
          <rPr>
            <b/>
            <sz val="8"/>
            <color indexed="8"/>
            <rFont val="Tahoma"/>
            <family val="2"/>
            <charset val="161"/>
          </rPr>
          <t>"Σ"</t>
        </r>
        <r>
          <rPr>
            <sz val="8"/>
            <color indexed="8"/>
            <rFont val="Tahoma"/>
            <family val="2"/>
            <charset val="161"/>
          </rPr>
          <t xml:space="preserve"> ή </t>
        </r>
        <r>
          <rPr>
            <b/>
            <sz val="8"/>
            <color indexed="8"/>
            <rFont val="Tahoma"/>
            <family val="2"/>
            <charset val="161"/>
          </rPr>
          <t>"Λ".</t>
        </r>
      </text>
    </comment>
    <comment ref="C801" authorId="0" shapeId="0">
      <text>
        <r>
          <rPr>
            <sz val="8"/>
            <color indexed="8"/>
            <rFont val="Tahoma"/>
            <family val="2"/>
            <charset val="161"/>
          </rPr>
          <t xml:space="preserve">Η απάντηση στο κελί </t>
        </r>
        <r>
          <rPr>
            <b/>
            <sz val="8"/>
            <color indexed="8"/>
            <rFont val="Tahoma"/>
            <family val="2"/>
            <charset val="161"/>
          </rPr>
          <t>H801</t>
        </r>
        <r>
          <rPr>
            <sz val="8"/>
            <color indexed="8"/>
            <rFont val="Tahoma"/>
            <family val="2"/>
            <charset val="161"/>
          </rPr>
          <t xml:space="preserve"> πρέπει να είναι της μορφής </t>
        </r>
        <r>
          <rPr>
            <b/>
            <sz val="8"/>
            <color indexed="8"/>
            <rFont val="Tahoma"/>
            <family val="2"/>
            <charset val="161"/>
          </rPr>
          <t xml:space="preserve">"πρόσημο, αριθμ. τιμή (ακέραιος), μονά-δα μέτρησης, </t>
        </r>
        <r>
          <rPr>
            <sz val="8"/>
            <color indexed="8"/>
            <rFont val="Tahoma"/>
            <family val="2"/>
            <charset val="161"/>
          </rPr>
          <t>π.χ.</t>
        </r>
        <r>
          <rPr>
            <b/>
            <sz val="8"/>
            <color indexed="8"/>
            <rFont val="Tahoma"/>
            <family val="2"/>
            <charset val="161"/>
          </rPr>
          <t xml:space="preserve"> "+28kJ". </t>
        </r>
      </text>
    </comment>
    <comment ref="C805" authorId="0" shapeId="0">
      <text>
        <r>
          <rPr>
            <sz val="8"/>
            <color indexed="8"/>
            <rFont val="Tahoma"/>
            <family val="2"/>
            <charset val="161"/>
          </rPr>
          <t xml:space="preserve">
Μορφή απάντησης: </t>
        </r>
        <r>
          <rPr>
            <b/>
            <sz val="8"/>
            <color indexed="8"/>
            <rFont val="Tahoma"/>
            <family val="2"/>
            <charset val="161"/>
          </rPr>
          <t>"amol", (a: δεκαδικός με 1 δεκαδ. ψηφίο).</t>
        </r>
      </text>
    </comment>
    <comment ref="M809" authorId="0" shapeId="0">
      <text>
        <r>
          <rPr>
            <b/>
            <sz val="8"/>
            <color indexed="8"/>
            <rFont val="Tahoma"/>
            <family val="2"/>
            <charset val="161"/>
          </rPr>
          <t>. .:</t>
        </r>
        <r>
          <rPr>
            <sz val="8"/>
            <color indexed="8"/>
            <rFont val="Tahoma"/>
            <family val="2"/>
            <charset val="161"/>
          </rPr>
          <t xml:space="preserve">
Για να εμφανιστεί η λύση του προβλήματος </t>
        </r>
        <r>
          <rPr>
            <b/>
            <sz val="8"/>
            <color indexed="8"/>
            <rFont val="Tahoma"/>
            <family val="2"/>
            <charset val="161"/>
          </rPr>
          <t>11β,</t>
        </r>
        <r>
          <rPr>
            <sz val="8"/>
            <color indexed="8"/>
            <rFont val="Tahoma"/>
            <family val="2"/>
            <charset val="161"/>
          </rPr>
          <t xml:space="preserve"> πρέπει να γράψεις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M811.</t>
        </r>
      </text>
    </comment>
    <comment ref="C836" authorId="0" shapeId="0">
      <text>
        <r>
          <rPr>
            <sz val="8"/>
            <color indexed="8"/>
            <rFont val="Tahoma"/>
            <family val="2"/>
            <charset val="161"/>
          </rPr>
          <t xml:space="preserve">
Η απάντηση στο κελί </t>
        </r>
        <r>
          <rPr>
            <b/>
            <sz val="8"/>
            <color indexed="8"/>
            <rFont val="Tahoma"/>
            <family val="2"/>
            <charset val="161"/>
          </rPr>
          <t>H836,</t>
        </r>
        <r>
          <rPr>
            <sz val="8"/>
            <color indexed="8"/>
            <rFont val="Tahoma"/>
            <family val="2"/>
            <charset val="161"/>
          </rPr>
          <t xml:space="preserve"> πρέ-πει να είναι της μορφής</t>
        </r>
        <r>
          <rPr>
            <b/>
            <sz val="8"/>
            <color indexed="8"/>
            <rFont val="Tahoma"/>
            <family val="2"/>
            <charset val="161"/>
          </rPr>
          <t xml:space="preserve"> "κ:λ", (κ, λ: φυσικοί αριθμοί), </t>
        </r>
        <r>
          <rPr>
            <sz val="8"/>
            <color indexed="8"/>
            <rFont val="Tahoma"/>
            <family val="2"/>
            <charset val="161"/>
          </rPr>
          <t xml:space="preserve">και να αντιστοιχεί σε </t>
        </r>
        <r>
          <rPr>
            <b/>
            <sz val="8"/>
            <color indexed="8"/>
            <rFont val="Tahoma"/>
            <family val="2"/>
            <charset val="161"/>
          </rPr>
          <t>ανάγωγο</t>
        </r>
        <r>
          <rPr>
            <sz val="8"/>
            <color indexed="8"/>
            <rFont val="Tahoma"/>
            <family val="2"/>
            <charset val="161"/>
          </rPr>
          <t xml:space="preserve"> (δηλ. μη απλοποιήσιμο) κλάσμα</t>
        </r>
        <r>
          <rPr>
            <b/>
            <sz val="8"/>
            <color indexed="8"/>
            <rFont val="Tahoma"/>
            <family val="2"/>
            <charset val="161"/>
          </rPr>
          <t>.</t>
        </r>
      </text>
    </comment>
    <comment ref="M842" authorId="0" shapeId="0">
      <text>
        <r>
          <rPr>
            <b/>
            <sz val="8"/>
            <color indexed="8"/>
            <rFont val="Tahoma"/>
            <family val="2"/>
            <charset val="161"/>
          </rPr>
          <t>. .:</t>
        </r>
        <r>
          <rPr>
            <sz val="8"/>
            <color indexed="8"/>
            <rFont val="Tahoma"/>
            <family val="2"/>
            <charset val="161"/>
          </rPr>
          <t xml:space="preserve">
Για να εμφανιστεί η λύση του προβλήματος </t>
        </r>
        <r>
          <rPr>
            <b/>
            <sz val="8"/>
            <color indexed="8"/>
            <rFont val="Tahoma"/>
            <family val="2"/>
            <charset val="161"/>
          </rPr>
          <t>11γ,</t>
        </r>
        <r>
          <rPr>
            <sz val="8"/>
            <color indexed="8"/>
            <rFont val="Tahoma"/>
            <family val="2"/>
            <charset val="161"/>
          </rPr>
          <t xml:space="preserve"> πρέπει να γράψεις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M844.</t>
        </r>
      </text>
    </comment>
    <comment ref="C857" authorId="0" shapeId="0">
      <text>
        <r>
          <rPr>
            <b/>
            <sz val="8"/>
            <color indexed="8"/>
            <rFont val="Tahoma"/>
            <family val="2"/>
            <charset val="161"/>
          </rPr>
          <t>. .:</t>
        </r>
        <r>
          <rPr>
            <sz val="8"/>
            <color indexed="8"/>
            <rFont val="Tahoma"/>
            <family val="2"/>
            <charset val="161"/>
          </rPr>
          <t xml:space="preserve">
Στα κελιά </t>
        </r>
        <r>
          <rPr>
            <b/>
            <sz val="8"/>
            <color indexed="8"/>
            <rFont val="Tahoma"/>
            <family val="2"/>
            <charset val="161"/>
          </rPr>
          <t>F861</t>
        </r>
        <r>
          <rPr>
            <sz val="8"/>
            <color indexed="8"/>
            <rFont val="Tahoma"/>
            <family val="2"/>
            <charset val="161"/>
          </rPr>
          <t xml:space="preserve"> έως </t>
        </r>
        <r>
          <rPr>
            <b/>
            <sz val="8"/>
            <color indexed="8"/>
            <rFont val="Tahoma"/>
            <family val="2"/>
            <charset val="161"/>
          </rPr>
          <t>F865</t>
        </r>
        <r>
          <rPr>
            <sz val="8"/>
            <color indexed="8"/>
            <rFont val="Tahoma"/>
            <family val="2"/>
            <charset val="161"/>
          </rPr>
          <t xml:space="preserve"> οι εγγραφές θα είναι της μορ-φής </t>
        </r>
        <r>
          <rPr>
            <b/>
            <sz val="8"/>
            <color indexed="8"/>
            <rFont val="Tahoma"/>
            <family val="2"/>
            <charset val="161"/>
          </rPr>
          <t>"amol",</t>
        </r>
        <r>
          <rPr>
            <sz val="8"/>
            <color indexed="8"/>
            <rFont val="Tahoma"/>
            <family val="2"/>
            <charset val="161"/>
          </rPr>
          <t xml:space="preserve"> με </t>
        </r>
        <r>
          <rPr>
            <b/>
            <sz val="8"/>
            <color indexed="8"/>
            <rFont val="Tahoma"/>
            <family val="2"/>
            <charset val="161"/>
          </rPr>
          <t>a: παρά-σταση με x ή y, π.χ. "2xmol" ή "(x-2y)mol".</t>
        </r>
      </text>
    </comment>
    <comment ref="C867" authorId="0" shapeId="0">
      <text>
        <r>
          <rPr>
            <sz val="8"/>
            <color indexed="8"/>
            <rFont val="Tahoma"/>
            <family val="2"/>
            <charset val="161"/>
          </rPr>
          <t xml:space="preserve">
Μορφή απάντησης: </t>
        </r>
        <r>
          <rPr>
            <b/>
            <sz val="8"/>
            <color indexed="8"/>
            <rFont val="Tahoma"/>
            <family val="2"/>
            <charset val="161"/>
          </rPr>
          <t>"amol/L", ή "aM", (a: δεκαδικός με 1 δεκαδ. ψηφίο).</t>
        </r>
      </text>
    </comment>
    <comment ref="C870" authorId="0" shapeId="0">
      <text>
        <r>
          <rPr>
            <sz val="8"/>
            <color indexed="8"/>
            <rFont val="Tahoma"/>
            <family val="2"/>
            <charset val="161"/>
          </rPr>
          <t xml:space="preserve">Μορφή απάντησης: </t>
        </r>
        <r>
          <rPr>
            <b/>
            <sz val="8"/>
            <color indexed="8"/>
            <rFont val="Tahoma"/>
            <family val="2"/>
            <charset val="161"/>
          </rPr>
          <t xml:space="preserve">"amol/L", (a: δεκα-δικός με 2 δεκαδ. ψηφία). </t>
        </r>
        <r>
          <rPr>
            <sz val="8"/>
            <color indexed="8"/>
            <rFont val="Tahoma"/>
            <family val="2"/>
            <charset val="161"/>
          </rPr>
          <t xml:space="preserve">Να ληφθεί </t>
        </r>
        <r>
          <rPr>
            <b/>
            <sz val="8"/>
            <color indexed="8"/>
            <rFont val="Tahoma"/>
            <family val="2"/>
            <charset val="161"/>
          </rPr>
          <t>0,4</t>
        </r>
        <r>
          <rPr>
            <b/>
            <vertAlign val="superscript"/>
            <sz val="9"/>
            <color indexed="8"/>
            <rFont val="Tahoma"/>
            <family val="2"/>
            <charset val="161"/>
          </rPr>
          <t>0,5</t>
        </r>
        <r>
          <rPr>
            <b/>
            <sz val="8"/>
            <color indexed="8"/>
            <rFont val="Tahoma"/>
            <family val="2"/>
            <charset val="161"/>
          </rPr>
          <t>=0,63.</t>
        </r>
      </text>
    </comment>
    <comment ref="C873" authorId="0" shapeId="0">
      <text>
        <r>
          <rPr>
            <sz val="8"/>
            <color indexed="8"/>
            <rFont val="Tahoma"/>
            <family val="2"/>
            <charset val="161"/>
          </rPr>
          <t xml:space="preserve">
Μορφή απάντησης: </t>
        </r>
        <r>
          <rPr>
            <b/>
            <sz val="8"/>
            <color indexed="8"/>
            <rFont val="Tahoma"/>
            <family val="2"/>
            <charset val="161"/>
          </rPr>
          <t>"amol", (a: δεκαδικός με 2 δεκαδ. ψηφία).</t>
        </r>
      </text>
    </comment>
    <comment ref="C875" authorId="0" shapeId="0">
      <text>
        <r>
          <rPr>
            <sz val="8"/>
            <color indexed="8"/>
            <rFont val="Tahoma"/>
            <family val="2"/>
            <charset val="161"/>
          </rPr>
          <t xml:space="preserve">
Οι απαντήσεις στο υπόλοιπο μέρος της άσκησης είναι της μορφής:</t>
        </r>
        <r>
          <rPr>
            <b/>
            <sz val="8"/>
            <color indexed="8"/>
            <rFont val="Tahoma"/>
            <family val="2"/>
            <charset val="161"/>
          </rPr>
          <t xml:space="preserve"> "amol" (a: δεκα-δικός με 3 δεκαδ. ψηφία).</t>
        </r>
      </text>
    </comment>
    <comment ref="M885" authorId="0" shapeId="0">
      <text>
        <r>
          <rPr>
            <sz val="8"/>
            <color indexed="8"/>
            <rFont val="Tahoma"/>
            <family val="2"/>
            <charset val="161"/>
          </rPr>
          <t xml:space="preserve">
Για να εμφανιστεί η λύση του προβλήματος </t>
        </r>
        <r>
          <rPr>
            <b/>
            <sz val="8"/>
            <color indexed="8"/>
            <rFont val="Tahoma"/>
            <family val="2"/>
            <charset val="161"/>
          </rPr>
          <t>11δ,</t>
        </r>
        <r>
          <rPr>
            <sz val="8"/>
            <color indexed="8"/>
            <rFont val="Tahoma"/>
            <family val="2"/>
            <charset val="161"/>
          </rPr>
          <t xml:space="preserve"> πρέπει να γράψεις </t>
        </r>
        <r>
          <rPr>
            <b/>
            <sz val="8"/>
            <color indexed="8"/>
            <rFont val="Tahoma"/>
            <family val="2"/>
            <charset val="161"/>
          </rPr>
          <t>"ναι"</t>
        </r>
        <r>
          <rPr>
            <sz val="8"/>
            <color indexed="8"/>
            <rFont val="Tahoma"/>
            <family val="2"/>
            <charset val="161"/>
          </rPr>
          <t xml:space="preserve"> στο κελί </t>
        </r>
        <r>
          <rPr>
            <b/>
            <sz val="8"/>
            <color indexed="8"/>
            <rFont val="Tahoma"/>
            <family val="2"/>
            <charset val="161"/>
          </rPr>
          <t>M887.
.</t>
        </r>
      </text>
    </comment>
    <comment ref="C914" authorId="0" shapeId="0">
      <text>
        <r>
          <rPr>
            <sz val="8"/>
            <color indexed="8"/>
            <rFont val="Tahoma"/>
            <family val="2"/>
            <charset val="161"/>
          </rPr>
          <t xml:space="preserve">
Μορφή απάντησης στα κελιά </t>
        </r>
        <r>
          <rPr>
            <b/>
            <sz val="8"/>
            <color indexed="8"/>
            <rFont val="Tahoma"/>
            <family val="2"/>
            <charset val="161"/>
          </rPr>
          <t>H914, H917</t>
        </r>
        <r>
          <rPr>
            <sz val="8"/>
            <color indexed="8"/>
            <rFont val="Tahoma"/>
            <family val="2"/>
            <charset val="161"/>
          </rPr>
          <t xml:space="preserve"> και </t>
        </r>
        <r>
          <rPr>
            <b/>
            <sz val="8"/>
            <color indexed="8"/>
            <rFont val="Tahoma"/>
            <family val="2"/>
            <charset val="161"/>
          </rPr>
          <t>H920: "amol" (a: ακέ-ραιος).</t>
        </r>
      </text>
    </comment>
    <comment ref="C923" authorId="0" shapeId="0">
      <text>
        <r>
          <rPr>
            <sz val="8"/>
            <color indexed="8"/>
            <rFont val="Tahoma"/>
            <family val="2"/>
            <charset val="161"/>
          </rPr>
          <t xml:space="preserve">
Μορφή απάντησης στα κελιά </t>
        </r>
        <r>
          <rPr>
            <b/>
            <sz val="8"/>
            <color indexed="8"/>
            <rFont val="Tahoma"/>
            <family val="2"/>
            <charset val="161"/>
          </rPr>
          <t>H923και</t>
        </r>
        <r>
          <rPr>
            <sz val="8"/>
            <color indexed="8"/>
            <rFont val="Tahoma"/>
            <family val="2"/>
            <charset val="161"/>
          </rPr>
          <t xml:space="preserve"> </t>
        </r>
        <r>
          <rPr>
            <b/>
            <sz val="8"/>
            <color indexed="8"/>
            <rFont val="Tahoma"/>
            <family val="2"/>
            <charset val="161"/>
          </rPr>
          <t>H926:</t>
        </r>
        <r>
          <rPr>
            <sz val="8"/>
            <color indexed="8"/>
            <rFont val="Tahoma"/>
            <family val="2"/>
            <charset val="161"/>
          </rPr>
          <t xml:space="preserve"> </t>
        </r>
        <r>
          <rPr>
            <b/>
            <sz val="8"/>
            <color indexed="8"/>
            <rFont val="Tahoma"/>
            <family val="2"/>
            <charset val="161"/>
          </rPr>
          <t>δεκαδικός με 1 δεκα-δικό ψηφίο.</t>
        </r>
      </text>
    </comment>
  </commentList>
</comments>
</file>

<file path=xl/sharedStrings.xml><?xml version="1.0" encoding="utf-8"?>
<sst xmlns="http://schemas.openxmlformats.org/spreadsheetml/2006/main" count="1065" uniqueCount="533">
  <si>
    <t xml:space="preserve">  xmol</t>
  </si>
  <si>
    <t xml:space="preserve">  (3,6+2x)mol</t>
  </si>
  <si>
    <t>ä</t>
  </si>
  <si>
    <r>
      <t>NH</t>
    </r>
    <r>
      <rPr>
        <b/>
        <vertAlign val="subscript"/>
        <sz val="11"/>
        <color indexed="43"/>
        <rFont val="Arial"/>
        <family val="2"/>
      </rPr>
      <t>3(g)</t>
    </r>
    <r>
      <rPr>
        <b/>
        <sz val="11"/>
        <color indexed="43"/>
        <rFont val="Arial"/>
        <family val="2"/>
        <charset val="161"/>
      </rPr>
      <t xml:space="preserve">  </t>
    </r>
    <r>
      <rPr>
        <b/>
        <sz val="11"/>
        <color indexed="10"/>
        <rFont val="Wingdings 3"/>
        <family val="1"/>
        <charset val="2"/>
      </rPr>
      <t>D</t>
    </r>
    <r>
      <rPr>
        <b/>
        <sz val="11"/>
        <color indexed="43"/>
        <rFont val="Arial"/>
        <family val="2"/>
      </rPr>
      <t xml:space="preserve"> </t>
    </r>
    <r>
      <rPr>
        <b/>
        <vertAlign val="superscript"/>
        <sz val="11"/>
        <color indexed="52"/>
        <rFont val="Arial"/>
        <family val="2"/>
        <charset val="161"/>
      </rPr>
      <t>1</t>
    </r>
    <r>
      <rPr>
        <b/>
        <sz val="11"/>
        <color indexed="52"/>
        <rFont val="Arial"/>
        <family val="2"/>
        <charset val="161"/>
      </rPr>
      <t>/</t>
    </r>
    <r>
      <rPr>
        <b/>
        <vertAlign val="subscript"/>
        <sz val="11"/>
        <color indexed="52"/>
        <rFont val="Arial"/>
        <family val="2"/>
        <charset val="161"/>
      </rPr>
      <t>2</t>
    </r>
    <r>
      <rPr>
        <b/>
        <sz val="11"/>
        <color indexed="43"/>
        <rFont val="Arial"/>
        <family val="2"/>
      </rPr>
      <t xml:space="preserve"> N</t>
    </r>
    <r>
      <rPr>
        <b/>
        <vertAlign val="subscript"/>
        <sz val="11"/>
        <color indexed="43"/>
        <rFont val="Arial"/>
        <family val="2"/>
      </rPr>
      <t>2(g)</t>
    </r>
    <r>
      <rPr>
        <b/>
        <sz val="11"/>
        <color indexed="43"/>
        <rFont val="Arial"/>
        <family val="2"/>
      </rPr>
      <t xml:space="preserve">  </t>
    </r>
    <r>
      <rPr>
        <b/>
        <sz val="11"/>
        <color indexed="10"/>
        <rFont val="Arial"/>
        <family val="2"/>
        <charset val="161"/>
      </rPr>
      <t>+</t>
    </r>
    <r>
      <rPr>
        <b/>
        <sz val="11"/>
        <color indexed="43"/>
        <rFont val="Arial"/>
        <family val="2"/>
      </rPr>
      <t xml:space="preserve">  </t>
    </r>
    <r>
      <rPr>
        <b/>
        <vertAlign val="superscript"/>
        <sz val="11"/>
        <color indexed="52"/>
        <rFont val="Arial"/>
        <family val="2"/>
        <charset val="161"/>
      </rPr>
      <t>3</t>
    </r>
    <r>
      <rPr>
        <b/>
        <sz val="11"/>
        <color indexed="52"/>
        <rFont val="Arial"/>
        <family val="2"/>
        <charset val="161"/>
      </rPr>
      <t>/</t>
    </r>
    <r>
      <rPr>
        <b/>
        <vertAlign val="subscript"/>
        <sz val="11"/>
        <color indexed="52"/>
        <rFont val="Arial"/>
        <family val="2"/>
        <charset val="161"/>
      </rPr>
      <t>2</t>
    </r>
    <r>
      <rPr>
        <b/>
        <sz val="11"/>
        <color indexed="43"/>
        <rFont val="Arial"/>
        <family val="2"/>
      </rPr>
      <t xml:space="preserve"> H</t>
    </r>
    <r>
      <rPr>
        <b/>
        <vertAlign val="subscript"/>
        <sz val="11"/>
        <color indexed="43"/>
        <rFont val="Arial"/>
        <family val="2"/>
      </rPr>
      <t>2(g)</t>
    </r>
  </si>
  <si>
    <r>
      <t>C</t>
    </r>
    <r>
      <rPr>
        <b/>
        <vertAlign val="subscript"/>
        <sz val="11"/>
        <color indexed="43"/>
        <rFont val="Arial"/>
        <family val="2"/>
      </rPr>
      <t>(s)</t>
    </r>
    <r>
      <rPr>
        <b/>
        <sz val="11"/>
        <color indexed="43"/>
        <rFont val="Arial"/>
        <family val="2"/>
      </rPr>
      <t xml:space="preserve">  </t>
    </r>
    <r>
      <rPr>
        <b/>
        <sz val="11"/>
        <color indexed="10"/>
        <rFont val="Arial"/>
        <family val="2"/>
        <charset val="161"/>
      </rPr>
      <t>+</t>
    </r>
    <r>
      <rPr>
        <b/>
        <sz val="11"/>
        <color indexed="43"/>
        <rFont val="Arial"/>
        <family val="2"/>
      </rPr>
      <t xml:space="preserve">  CO</t>
    </r>
    <r>
      <rPr>
        <b/>
        <vertAlign val="subscript"/>
        <sz val="11"/>
        <color indexed="43"/>
        <rFont val="Arial"/>
        <family val="2"/>
      </rPr>
      <t>2(g)</t>
    </r>
    <r>
      <rPr>
        <b/>
        <sz val="11"/>
        <color indexed="43"/>
        <rFont val="Arial"/>
        <family val="2"/>
      </rPr>
      <t xml:space="preserve">  </t>
    </r>
    <r>
      <rPr>
        <b/>
        <sz val="11"/>
        <color indexed="10"/>
        <rFont val="Wingdings 3"/>
        <family val="1"/>
        <charset val="2"/>
      </rPr>
      <t>D</t>
    </r>
    <r>
      <rPr>
        <b/>
        <sz val="11"/>
        <color indexed="43"/>
        <rFont val="Arial"/>
        <family val="2"/>
      </rPr>
      <t xml:space="preserve">  </t>
    </r>
    <r>
      <rPr>
        <b/>
        <sz val="11"/>
        <color indexed="52"/>
        <rFont val="Arial"/>
        <family val="2"/>
        <charset val="161"/>
      </rPr>
      <t>2</t>
    </r>
    <r>
      <rPr>
        <b/>
        <sz val="11"/>
        <color indexed="43"/>
        <rFont val="Arial"/>
        <family val="2"/>
      </rPr>
      <t>CO</t>
    </r>
    <r>
      <rPr>
        <b/>
        <vertAlign val="subscript"/>
        <sz val="11"/>
        <color indexed="43"/>
        <rFont val="Arial"/>
        <family val="2"/>
      </rPr>
      <t>(g)</t>
    </r>
  </si>
  <si>
    <r>
      <t>CaCO</t>
    </r>
    <r>
      <rPr>
        <b/>
        <vertAlign val="subscript"/>
        <sz val="11"/>
        <color indexed="43"/>
        <rFont val="Arial"/>
        <family val="2"/>
      </rPr>
      <t>3(s)</t>
    </r>
    <r>
      <rPr>
        <b/>
        <sz val="11"/>
        <color indexed="43"/>
        <rFont val="Arial"/>
        <family val="2"/>
      </rPr>
      <t xml:space="preserve">  </t>
    </r>
    <r>
      <rPr>
        <b/>
        <sz val="11"/>
        <color indexed="10"/>
        <rFont val="Wingdings 3"/>
        <family val="1"/>
        <charset val="2"/>
      </rPr>
      <t>D</t>
    </r>
    <r>
      <rPr>
        <b/>
        <sz val="11"/>
        <color indexed="43"/>
        <rFont val="Arial"/>
        <family val="2"/>
      </rPr>
      <t xml:space="preserve">  CaO</t>
    </r>
    <r>
      <rPr>
        <b/>
        <vertAlign val="subscript"/>
        <sz val="11"/>
        <color indexed="43"/>
        <rFont val="Arial"/>
        <family val="2"/>
      </rPr>
      <t>(s)</t>
    </r>
    <r>
      <rPr>
        <b/>
        <sz val="11"/>
        <color indexed="43"/>
        <rFont val="Arial"/>
        <family val="2"/>
      </rPr>
      <t xml:space="preserve">  </t>
    </r>
    <r>
      <rPr>
        <b/>
        <sz val="11"/>
        <color indexed="10"/>
        <rFont val="Arial"/>
        <family val="2"/>
        <charset val="161"/>
      </rPr>
      <t>+</t>
    </r>
    <r>
      <rPr>
        <b/>
        <sz val="11"/>
        <color indexed="43"/>
        <rFont val="Arial"/>
        <family val="2"/>
      </rPr>
      <t xml:space="preserve">  CO</t>
    </r>
    <r>
      <rPr>
        <b/>
        <vertAlign val="subscript"/>
        <sz val="11"/>
        <color indexed="43"/>
        <rFont val="Arial"/>
        <family val="2"/>
      </rPr>
      <t>2(g)</t>
    </r>
  </si>
  <si>
    <r>
      <t>2</t>
    </r>
    <r>
      <rPr>
        <b/>
        <sz val="11"/>
        <color indexed="43"/>
        <rFont val="Arial"/>
        <family val="2"/>
        <charset val="161"/>
      </rPr>
      <t>HCl</t>
    </r>
  </si>
  <si>
    <r>
      <t xml:space="preserve">Στην παρούσα άσκηση δίνονται σε κάθε περίπτωση οι αρχικές ποσότητες κάποιων ουσι-ών, οι οποίες αντιδρούν μεταξύ τους και σχηματίζονται έτσι κάποια προϊόντα, ζητείται δε να γραφεί, </t>
    </r>
    <r>
      <rPr>
        <sz val="10"/>
        <color indexed="43"/>
        <rFont val="Arial"/>
        <family val="2"/>
        <charset val="161"/>
      </rPr>
      <t>με</t>
    </r>
    <r>
      <rPr>
        <b/>
        <sz val="10"/>
        <color indexed="43"/>
        <rFont val="Arial"/>
        <family val="2"/>
      </rPr>
      <t xml:space="preserve"> </t>
    </r>
    <r>
      <rPr>
        <b/>
        <sz val="10"/>
        <color indexed="52"/>
        <rFont val="Arial"/>
        <family val="2"/>
        <charset val="161"/>
      </rPr>
      <t>λατινικά</t>
    </r>
    <r>
      <rPr>
        <b/>
        <sz val="10"/>
        <color indexed="43"/>
        <rFont val="Arial"/>
        <family val="2"/>
      </rPr>
      <t xml:space="preserve"> </t>
    </r>
    <r>
      <rPr>
        <sz val="10"/>
        <color indexed="43"/>
        <rFont val="Arial"/>
        <family val="2"/>
      </rPr>
      <t>γράμματα,</t>
    </r>
    <r>
      <rPr>
        <sz val="10"/>
        <color indexed="43"/>
        <rFont val="Arial"/>
        <family val="2"/>
        <charset val="161"/>
      </rPr>
      <t xml:space="preserve"> στα κελιά που έχουν πορτοκαλί χρώμα, ο χημικός τύ-πος του αντιδρώντος που βρίσκεται σε </t>
    </r>
    <r>
      <rPr>
        <b/>
        <sz val="10"/>
        <color indexed="52"/>
        <rFont val="Arial"/>
        <family val="2"/>
        <charset val="161"/>
      </rPr>
      <t>περίσσεια.</t>
    </r>
    <r>
      <rPr>
        <sz val="10"/>
        <color indexed="43"/>
        <rFont val="Arial"/>
        <family val="2"/>
        <charset val="161"/>
      </rPr>
      <t xml:space="preserve"> </t>
    </r>
    <r>
      <rPr>
        <sz val="10"/>
        <color indexed="43"/>
        <rFont val="Arial"/>
        <family val="2"/>
        <charset val="161"/>
      </rPr>
      <t>Στην περίπτωση που τα αντιδρώντα βρίσκονται σε στοιχειομετρική αναλογία, να γραφεί</t>
    </r>
    <r>
      <rPr>
        <b/>
        <sz val="10"/>
        <color indexed="43"/>
        <rFont val="Arial"/>
        <family val="2"/>
      </rPr>
      <t xml:space="preserve"> </t>
    </r>
    <r>
      <rPr>
        <b/>
        <sz val="10"/>
        <color indexed="52"/>
        <rFont val="Arial"/>
        <family val="2"/>
        <charset val="161"/>
      </rPr>
      <t>"ΣΤΑΝΑΛ"</t>
    </r>
    <r>
      <rPr>
        <sz val="10"/>
        <color indexed="43"/>
        <rFont val="Arial"/>
        <family val="2"/>
      </rPr>
      <t xml:space="preserve"> με</t>
    </r>
    <r>
      <rPr>
        <b/>
        <sz val="10"/>
        <color indexed="43"/>
        <rFont val="Arial"/>
        <family val="2"/>
      </rPr>
      <t xml:space="preserve"> </t>
    </r>
    <r>
      <rPr>
        <b/>
        <sz val="10"/>
        <color indexed="52"/>
        <rFont val="Arial"/>
        <family val="2"/>
        <charset val="161"/>
      </rPr>
      <t>κεφαλαία</t>
    </r>
    <r>
      <rPr>
        <b/>
        <sz val="10"/>
        <color indexed="43"/>
        <rFont val="Arial"/>
        <family val="2"/>
      </rPr>
      <t xml:space="preserve"> </t>
    </r>
    <r>
      <rPr>
        <b/>
        <sz val="10"/>
        <color indexed="52"/>
        <rFont val="Arial"/>
        <family val="2"/>
        <charset val="161"/>
      </rPr>
      <t>ελληνικά</t>
    </r>
    <r>
      <rPr>
        <b/>
        <sz val="10"/>
        <color indexed="43"/>
        <rFont val="Arial"/>
        <family val="2"/>
      </rPr>
      <t xml:space="preserve"> </t>
    </r>
    <r>
      <rPr>
        <sz val="10"/>
        <color indexed="43"/>
        <rFont val="Arial"/>
        <family val="2"/>
      </rPr>
      <t>γράμματα. Ζητείται ακόμη και</t>
    </r>
    <r>
      <rPr>
        <sz val="10"/>
        <color indexed="43"/>
        <rFont val="Arial"/>
        <family val="2"/>
        <charset val="161"/>
      </rPr>
      <t xml:space="preserve"> η </t>
    </r>
    <r>
      <rPr>
        <b/>
        <sz val="10"/>
        <color indexed="52"/>
        <rFont val="Arial"/>
        <family val="2"/>
        <charset val="161"/>
      </rPr>
      <t>"θεωρητική"</t>
    </r>
    <r>
      <rPr>
        <sz val="10"/>
        <color indexed="43"/>
        <rFont val="Arial"/>
        <family val="2"/>
        <charset val="161"/>
      </rPr>
      <t xml:space="preserve"> ποσότητα του προϊόντος </t>
    </r>
    <r>
      <rPr>
        <sz val="10"/>
        <color indexed="43"/>
        <rFont val="Arial"/>
        <family val="2"/>
        <charset val="161"/>
      </rPr>
      <t>σε</t>
    </r>
    <r>
      <rPr>
        <b/>
        <sz val="10"/>
        <color indexed="43"/>
        <rFont val="Arial"/>
        <family val="2"/>
      </rPr>
      <t xml:space="preserve"> </t>
    </r>
    <r>
      <rPr>
        <b/>
        <sz val="10"/>
        <color indexed="52"/>
        <rFont val="Arial"/>
        <family val="2"/>
        <charset val="161"/>
      </rPr>
      <t>mol.</t>
    </r>
    <r>
      <rPr>
        <sz val="10"/>
        <color indexed="43"/>
        <rFont val="Arial"/>
        <family val="2"/>
        <charset val="161"/>
      </rPr>
      <t xml:space="preserve"> </t>
    </r>
  </si>
  <si>
    <r>
      <t xml:space="preserve">Θεωρητική ποσότητα προϊόντος (σε </t>
    </r>
    <r>
      <rPr>
        <b/>
        <sz val="10"/>
        <color indexed="52"/>
        <rFont val="Arial"/>
        <family val="2"/>
        <charset val="161"/>
      </rPr>
      <t>mol</t>
    </r>
    <r>
      <rPr>
        <sz val="10"/>
        <color indexed="43"/>
        <rFont val="Arial"/>
        <family val="2"/>
        <charset val="161"/>
      </rPr>
      <t>):</t>
    </r>
  </si>
  <si>
    <r>
      <t>2</t>
    </r>
    <r>
      <rPr>
        <b/>
        <sz val="11"/>
        <color indexed="43"/>
        <rFont val="Arial"/>
        <family val="2"/>
        <charset val="161"/>
      </rPr>
      <t>N</t>
    </r>
    <r>
      <rPr>
        <b/>
        <vertAlign val="subscript"/>
        <sz val="11"/>
        <color indexed="43"/>
        <rFont val="Arial"/>
        <family val="2"/>
      </rPr>
      <t>2(g)</t>
    </r>
  </si>
  <si>
    <r>
      <t>2</t>
    </r>
    <r>
      <rPr>
        <b/>
        <sz val="11"/>
        <color indexed="43"/>
        <rFont val="Arial"/>
        <family val="2"/>
        <charset val="161"/>
      </rPr>
      <t>N</t>
    </r>
    <r>
      <rPr>
        <b/>
        <vertAlign val="subscript"/>
        <sz val="11"/>
        <color indexed="43"/>
        <rFont val="Arial"/>
        <family val="2"/>
      </rPr>
      <t>2</t>
    </r>
    <r>
      <rPr>
        <b/>
        <sz val="11"/>
        <color indexed="43"/>
        <rFont val="Arial"/>
        <family val="2"/>
        <charset val="161"/>
      </rPr>
      <t>O</t>
    </r>
    <r>
      <rPr>
        <b/>
        <vertAlign val="subscript"/>
        <sz val="11"/>
        <color indexed="43"/>
        <rFont val="Arial"/>
        <family val="2"/>
      </rPr>
      <t>(g)</t>
    </r>
  </si>
  <si>
    <r>
      <t xml:space="preserve">    Η</t>
    </r>
    <r>
      <rPr>
        <vertAlign val="subscript"/>
        <sz val="16"/>
        <color indexed="41"/>
        <rFont val="Arial"/>
        <family val="2"/>
      </rPr>
      <t>2</t>
    </r>
  </si>
  <si>
    <r>
      <t>Cl</t>
    </r>
    <r>
      <rPr>
        <b/>
        <vertAlign val="subscript"/>
        <sz val="16"/>
        <color indexed="41"/>
        <rFont val="Arial"/>
        <family val="2"/>
      </rPr>
      <t>2</t>
    </r>
  </si>
  <si>
    <r>
      <t>2</t>
    </r>
    <r>
      <rPr>
        <sz val="16"/>
        <color indexed="41"/>
        <rFont val="Arial"/>
        <family val="2"/>
      </rPr>
      <t>HCl</t>
    </r>
  </si>
  <si>
    <r>
      <t xml:space="preserve">       H</t>
    </r>
    <r>
      <rPr>
        <b/>
        <vertAlign val="subscript"/>
        <sz val="10"/>
        <color indexed="41"/>
        <rFont val="Arial"/>
        <family val="2"/>
      </rPr>
      <t>2</t>
    </r>
  </si>
  <si>
    <r>
      <t>Cl</t>
    </r>
    <r>
      <rPr>
        <b/>
        <vertAlign val="subscript"/>
        <sz val="10"/>
        <color indexed="41"/>
        <rFont val="Arial"/>
        <family val="2"/>
      </rPr>
      <t>2</t>
    </r>
  </si>
  <si>
    <r>
      <t xml:space="preserve"> </t>
    </r>
    <r>
      <rPr>
        <b/>
        <sz val="10"/>
        <color indexed="52"/>
        <rFont val="Arial"/>
        <family val="2"/>
        <charset val="161"/>
      </rPr>
      <t>2</t>
    </r>
    <r>
      <rPr>
        <b/>
        <sz val="10"/>
        <color indexed="41"/>
        <rFont val="Arial"/>
        <family val="2"/>
      </rPr>
      <t>HCl</t>
    </r>
  </si>
  <si>
    <r>
      <t>α</t>
    </r>
    <r>
      <rPr>
        <b/>
        <sz val="16"/>
        <color indexed="44"/>
        <rFont val="Arial"/>
        <family val="2"/>
      </rPr>
      <t>Α</t>
    </r>
  </si>
  <si>
    <r>
      <t>β</t>
    </r>
    <r>
      <rPr>
        <b/>
        <sz val="16"/>
        <color indexed="44"/>
        <rFont val="Arial"/>
        <family val="2"/>
      </rPr>
      <t>Β</t>
    </r>
  </si>
  <si>
    <r>
      <t>γ</t>
    </r>
    <r>
      <rPr>
        <b/>
        <sz val="16"/>
        <color indexed="44"/>
        <rFont val="Arial"/>
        <family val="2"/>
      </rPr>
      <t>Γ</t>
    </r>
  </si>
  <si>
    <r>
      <t>δ</t>
    </r>
    <r>
      <rPr>
        <b/>
        <sz val="16"/>
        <color indexed="44"/>
        <rFont val="Arial"/>
        <family val="2"/>
      </rPr>
      <t>Δ</t>
    </r>
  </si>
  <si>
    <r>
      <t xml:space="preserve">Αρχικά στο χώρο της αντίδρασης πραγματοποιείται μόνο η αντίδραση με φορά προς τα δεξιά, που σημειώνεται με τον αριθμό </t>
    </r>
    <r>
      <rPr>
        <b/>
        <sz val="10"/>
        <color indexed="52"/>
        <rFont val="Arial"/>
        <family val="2"/>
        <charset val="161"/>
      </rPr>
      <t>"1".</t>
    </r>
    <r>
      <rPr>
        <sz val="10"/>
        <color indexed="43"/>
        <rFont val="Arial"/>
        <family val="2"/>
        <charset val="161"/>
      </rPr>
      <t xml:space="preserve"> Η αντίδραση με φορά προς τα αριστερά, που υποδηλώνεται με τον αριθμό </t>
    </r>
    <r>
      <rPr>
        <b/>
        <sz val="10"/>
        <color indexed="52"/>
        <rFont val="Arial"/>
        <family val="2"/>
        <charset val="161"/>
      </rPr>
      <t>"2"</t>
    </r>
    <r>
      <rPr>
        <sz val="10"/>
        <color indexed="52"/>
        <rFont val="Arial"/>
        <family val="2"/>
        <charset val="161"/>
      </rPr>
      <t>,</t>
    </r>
    <r>
      <rPr>
        <sz val="10"/>
        <color indexed="43"/>
        <rFont val="Arial"/>
        <family val="2"/>
        <charset val="161"/>
      </rPr>
      <t xml:space="preserve"> δε γίνεται στην αρχή, αφού στο χώρο της αντίδρασης δεν υπάρχει ούτε το αέριο Γ ούτε το αέριο Δ.</t>
    </r>
  </si>
  <si>
    <r>
      <t xml:space="preserve">Η </t>
    </r>
    <r>
      <rPr>
        <b/>
        <sz val="10"/>
        <color indexed="52"/>
        <rFont val="Arial"/>
        <family val="2"/>
        <charset val="161"/>
      </rPr>
      <t>"αντίδραση 2"</t>
    </r>
    <r>
      <rPr>
        <b/>
        <sz val="10"/>
        <color indexed="43"/>
        <rFont val="Arial"/>
        <family val="2"/>
      </rPr>
      <t xml:space="preserve"> </t>
    </r>
    <r>
      <rPr>
        <sz val="10"/>
        <color indexed="43"/>
        <rFont val="Arial"/>
        <family val="2"/>
        <charset val="161"/>
      </rPr>
      <t xml:space="preserve">αρχίζει να γίνεται σιγά-σιγά, απ' τη στιγμή που θα υπάρξει κάποια, έστω και μικρή, παρουσία των αερίων Γ και Δ, που παράγονται εξαιτίας της πραγματο-ποίησης της </t>
    </r>
    <r>
      <rPr>
        <b/>
        <sz val="10"/>
        <color indexed="52"/>
        <rFont val="Arial"/>
        <family val="2"/>
        <charset val="161"/>
      </rPr>
      <t>"αντίδρασης 1",</t>
    </r>
    <r>
      <rPr>
        <b/>
        <sz val="10"/>
        <color indexed="43"/>
        <rFont val="Arial"/>
        <family val="2"/>
      </rPr>
      <t xml:space="preserve"> </t>
    </r>
    <r>
      <rPr>
        <sz val="10"/>
        <color indexed="43"/>
        <rFont val="Arial"/>
        <family val="2"/>
        <charset val="161"/>
      </rPr>
      <t xml:space="preserve">στο χώρο της αντίδρασης. </t>
    </r>
  </si>
  <si>
    <r>
      <t xml:space="preserve">Η </t>
    </r>
    <r>
      <rPr>
        <b/>
        <sz val="10"/>
        <color indexed="52"/>
        <rFont val="Arial"/>
        <family val="2"/>
        <charset val="161"/>
      </rPr>
      <t>"αντίδραση 1"</t>
    </r>
    <r>
      <rPr>
        <b/>
        <sz val="10"/>
        <color indexed="43"/>
        <rFont val="Arial"/>
        <family val="2"/>
      </rPr>
      <t xml:space="preserve"> </t>
    </r>
    <r>
      <rPr>
        <sz val="10"/>
        <color indexed="43"/>
        <rFont val="Arial"/>
        <family val="2"/>
        <charset val="161"/>
      </rPr>
      <t>γίνεται γρηγορότερα απ' ότι η</t>
    </r>
    <r>
      <rPr>
        <b/>
        <sz val="10"/>
        <color indexed="43"/>
        <rFont val="Arial"/>
        <family val="2"/>
      </rPr>
      <t xml:space="preserve"> </t>
    </r>
    <r>
      <rPr>
        <b/>
        <sz val="10"/>
        <color indexed="52"/>
        <rFont val="Arial"/>
        <family val="2"/>
        <charset val="161"/>
      </rPr>
      <t>"αντίδραση 2",</t>
    </r>
    <r>
      <rPr>
        <sz val="10"/>
        <color indexed="43"/>
        <rFont val="Arial"/>
        <family val="2"/>
        <charset val="161"/>
      </rPr>
      <t xml:space="preserve"> με αποτέλεσμα οι πο-σότητες των αερίων Α και Β να καταναλώνονται γρηγορότερα απ' ότι σχηματίζονται, ενώ οι ποσότητες των αερίων Γ και Δ να σχηματίζονται γρηγορότερα απ' ότι καταναλώνονται. Επόμενο είναι λοιπόν οι ποσότητες των αερίων Α και Β, μέσα στο χώρο της αντίδρασης να ελαττώνονται με την παρέλευση του χρόνου, ενώ των αερίων Γ και Δ να αυξάνονται.   </t>
    </r>
  </si>
  <si>
    <r>
      <t>Αυτό έχει ως συνέπεια, η ταχύτητα της</t>
    </r>
    <r>
      <rPr>
        <b/>
        <sz val="10"/>
        <color indexed="43"/>
        <rFont val="Arial"/>
        <family val="2"/>
      </rPr>
      <t xml:space="preserve"> </t>
    </r>
    <r>
      <rPr>
        <b/>
        <sz val="10"/>
        <color indexed="52"/>
        <rFont val="Arial"/>
        <family val="2"/>
        <charset val="161"/>
      </rPr>
      <t>"αντίδρασης 1"</t>
    </r>
    <r>
      <rPr>
        <b/>
        <sz val="10"/>
        <color indexed="43"/>
        <rFont val="Arial"/>
        <family val="2"/>
      </rPr>
      <t xml:space="preserve"> </t>
    </r>
    <r>
      <rPr>
        <sz val="10"/>
        <color indexed="43"/>
        <rFont val="Arial"/>
        <family val="2"/>
        <charset val="161"/>
      </rPr>
      <t xml:space="preserve">διαρκώς να μειώνεται από μια αρχικά μέγιστη τιμή, ενώ η ταχύτητα της </t>
    </r>
    <r>
      <rPr>
        <b/>
        <sz val="10"/>
        <color indexed="52"/>
        <rFont val="Arial"/>
        <family val="2"/>
        <charset val="161"/>
      </rPr>
      <t>"αντίδρασης 2"</t>
    </r>
    <r>
      <rPr>
        <sz val="10"/>
        <color indexed="43"/>
        <rFont val="Arial"/>
        <family val="2"/>
        <charset val="161"/>
      </rPr>
      <t xml:space="preserve"> διαρκώς να αυξάνεται από μια αρχική τιμή ίση με μηδέν.</t>
    </r>
  </si>
  <si>
    <r>
      <t xml:space="preserve">Όταν εξισωθούν οι ταχύτητες, θα παραμείνουν ίσες. Αυτό γίνεται εύκολα κατανοητό, αρ-κεί να σκεφτούμε ότι η εξίσωση των ταχυτήτων για τις αντιδράσεις </t>
    </r>
    <r>
      <rPr>
        <b/>
        <sz val="10"/>
        <color indexed="52"/>
        <rFont val="Arial"/>
        <family val="2"/>
        <charset val="161"/>
      </rPr>
      <t>"1"</t>
    </r>
    <r>
      <rPr>
        <sz val="10"/>
        <color indexed="43"/>
        <rFont val="Arial"/>
        <family val="2"/>
        <charset val="161"/>
      </rPr>
      <t xml:space="preserve"> και </t>
    </r>
    <r>
      <rPr>
        <b/>
        <sz val="10"/>
        <color indexed="52"/>
        <rFont val="Arial"/>
        <family val="2"/>
        <charset val="161"/>
      </rPr>
      <t>"2",</t>
    </r>
    <r>
      <rPr>
        <sz val="10"/>
        <color indexed="43"/>
        <rFont val="Arial"/>
        <family val="2"/>
        <charset val="161"/>
      </rPr>
      <t xml:space="preserve"> δε σημαί-νει τίποτε άλλο παρά το ότι όσο γρήγορα καταναλώνονται τα αέρια Α και Β ("αντίδραση 1"), τόσο γρήγορα ανασυνθέτονται από τα αέρια Γ και Δ ("αντίδραση 2").</t>
    </r>
  </si>
  <si>
    <r>
      <t xml:space="preserve">Άμεση συνέπεια των παραπάνω είναι οι ποσότητες όλων των αερίων να παραμένουν χρο-νικά αμετάβλητες, με αποτέλεσμα όμως και οι ταχύτητες πραγματοποίησης των αντιδρά-σεων </t>
    </r>
    <r>
      <rPr>
        <b/>
        <sz val="10"/>
        <color indexed="52"/>
        <rFont val="Arial"/>
        <family val="2"/>
        <charset val="161"/>
      </rPr>
      <t>"1"</t>
    </r>
    <r>
      <rPr>
        <sz val="10"/>
        <color indexed="43"/>
        <rFont val="Arial"/>
        <family val="2"/>
        <charset val="161"/>
      </rPr>
      <t xml:space="preserve"> και </t>
    </r>
    <r>
      <rPr>
        <b/>
        <sz val="10"/>
        <color indexed="52"/>
        <rFont val="Arial"/>
        <family val="2"/>
        <charset val="161"/>
      </rPr>
      <t>"2"</t>
    </r>
    <r>
      <rPr>
        <sz val="10"/>
        <color indexed="43"/>
        <rFont val="Arial"/>
        <family val="2"/>
        <charset val="161"/>
      </rPr>
      <t xml:space="preserve"> να μην αλλάζουν απ' τη στιγμή που εξισώνονται και μετά.</t>
    </r>
  </si>
  <si>
    <r>
      <t>υ</t>
    </r>
    <r>
      <rPr>
        <b/>
        <vertAlign val="subscript"/>
        <sz val="16"/>
        <color indexed="53"/>
        <rFont val="Arial"/>
        <family val="2"/>
      </rPr>
      <t>1τελ.</t>
    </r>
    <r>
      <rPr>
        <b/>
        <sz val="16"/>
        <color indexed="53"/>
        <rFont val="Arial"/>
        <family val="2"/>
      </rPr>
      <t>=υ</t>
    </r>
    <r>
      <rPr>
        <b/>
        <vertAlign val="subscript"/>
        <sz val="16"/>
        <color indexed="53"/>
        <rFont val="Arial"/>
        <family val="2"/>
      </rPr>
      <t xml:space="preserve">2τελ. </t>
    </r>
    <r>
      <rPr>
        <b/>
        <sz val="16"/>
        <color indexed="50"/>
        <rFont val="Symbol"/>
        <family val="1"/>
        <charset val="2"/>
      </rPr>
      <t>Û</t>
    </r>
    <r>
      <rPr>
        <b/>
        <sz val="16"/>
        <color indexed="53"/>
        <rFont val="Symbol"/>
        <family val="1"/>
        <charset val="2"/>
      </rPr>
      <t xml:space="preserve">  </t>
    </r>
    <r>
      <rPr>
        <b/>
        <sz val="16"/>
        <color indexed="53"/>
        <rFont val="Arial"/>
        <family val="2"/>
      </rPr>
      <t>ΚΧΙ</t>
    </r>
  </si>
  <si>
    <r>
      <t xml:space="preserve">  υ</t>
    </r>
    <r>
      <rPr>
        <b/>
        <vertAlign val="subscript"/>
        <sz val="14"/>
        <color indexed="52"/>
        <rFont val="Arial"/>
        <family val="2"/>
      </rPr>
      <t>1</t>
    </r>
    <r>
      <rPr>
        <b/>
        <sz val="14"/>
        <color indexed="52"/>
        <rFont val="Arial"/>
        <family val="2"/>
      </rPr>
      <t>=k</t>
    </r>
    <r>
      <rPr>
        <b/>
        <vertAlign val="subscript"/>
        <sz val="14"/>
        <color indexed="52"/>
        <rFont val="Arial"/>
        <family val="2"/>
      </rPr>
      <t>1</t>
    </r>
    <r>
      <rPr>
        <b/>
        <sz val="14"/>
        <color indexed="52"/>
        <rFont val="Arial"/>
        <family val="2"/>
      </rPr>
      <t>·[Α]</t>
    </r>
    <r>
      <rPr>
        <b/>
        <vertAlign val="superscript"/>
        <sz val="14"/>
        <color indexed="52"/>
        <rFont val="Arial"/>
        <family val="2"/>
      </rPr>
      <t>α</t>
    </r>
    <r>
      <rPr>
        <b/>
        <sz val="14"/>
        <color indexed="52"/>
        <rFont val="Arial"/>
        <family val="2"/>
      </rPr>
      <t>·[Β]</t>
    </r>
    <r>
      <rPr>
        <b/>
        <vertAlign val="superscript"/>
        <sz val="14"/>
        <color indexed="52"/>
        <rFont val="Arial"/>
        <family val="2"/>
      </rPr>
      <t xml:space="preserve">β   </t>
    </r>
    <r>
      <rPr>
        <sz val="14"/>
        <color indexed="50"/>
        <rFont val="Arial"/>
        <family val="2"/>
        <charset val="161"/>
      </rPr>
      <t>και</t>
    </r>
    <r>
      <rPr>
        <sz val="14"/>
        <color indexed="52"/>
        <rFont val="Arial"/>
        <family val="2"/>
      </rPr>
      <t xml:space="preserve">  </t>
    </r>
    <r>
      <rPr>
        <b/>
        <sz val="14"/>
        <color indexed="52"/>
        <rFont val="Arial"/>
        <family val="2"/>
      </rPr>
      <t xml:space="preserve"> υ</t>
    </r>
    <r>
      <rPr>
        <b/>
        <vertAlign val="subscript"/>
        <sz val="14"/>
        <color indexed="52"/>
        <rFont val="Arial"/>
        <family val="2"/>
      </rPr>
      <t>2</t>
    </r>
    <r>
      <rPr>
        <b/>
        <sz val="14"/>
        <color indexed="52"/>
        <rFont val="Arial"/>
        <family val="2"/>
      </rPr>
      <t>=k</t>
    </r>
    <r>
      <rPr>
        <b/>
        <vertAlign val="subscript"/>
        <sz val="14"/>
        <color indexed="52"/>
        <rFont val="Arial"/>
        <family val="2"/>
      </rPr>
      <t>2</t>
    </r>
    <r>
      <rPr>
        <b/>
        <sz val="14"/>
        <color indexed="52"/>
        <rFont val="Arial"/>
        <family val="2"/>
      </rPr>
      <t>·[Γ]</t>
    </r>
    <r>
      <rPr>
        <b/>
        <vertAlign val="superscript"/>
        <sz val="14"/>
        <color indexed="52"/>
        <rFont val="Arial"/>
        <family val="2"/>
      </rPr>
      <t>γ</t>
    </r>
    <r>
      <rPr>
        <b/>
        <sz val="14"/>
        <color indexed="52"/>
        <rFont val="Arial"/>
        <family val="2"/>
      </rPr>
      <t>·[Δ]</t>
    </r>
    <r>
      <rPr>
        <b/>
        <vertAlign val="superscript"/>
        <sz val="14"/>
        <color indexed="52"/>
        <rFont val="Arial"/>
        <family val="2"/>
      </rPr>
      <t>δ</t>
    </r>
    <r>
      <rPr>
        <b/>
        <sz val="14"/>
        <color indexed="52"/>
        <rFont val="Arial"/>
        <family val="2"/>
      </rPr>
      <t xml:space="preserve"> </t>
    </r>
  </si>
  <si>
    <r>
      <t xml:space="preserve">ΚΧΙ  </t>
    </r>
    <r>
      <rPr>
        <b/>
        <sz val="14"/>
        <color indexed="50"/>
        <rFont val="Symbol"/>
        <family val="1"/>
        <charset val="2"/>
      </rPr>
      <t>Û</t>
    </r>
    <r>
      <rPr>
        <b/>
        <sz val="14"/>
        <color indexed="52"/>
        <rFont val="Arial"/>
        <family val="2"/>
        <charset val="161"/>
      </rPr>
      <t xml:space="preserve">  υ</t>
    </r>
    <r>
      <rPr>
        <b/>
        <vertAlign val="subscript"/>
        <sz val="14"/>
        <color indexed="52"/>
        <rFont val="Arial"/>
        <family val="2"/>
      </rPr>
      <t>1</t>
    </r>
    <r>
      <rPr>
        <b/>
        <sz val="14"/>
        <color indexed="52"/>
        <rFont val="Arial"/>
        <family val="2"/>
        <charset val="161"/>
      </rPr>
      <t>=υ</t>
    </r>
    <r>
      <rPr>
        <b/>
        <vertAlign val="subscript"/>
        <sz val="14"/>
        <color indexed="52"/>
        <rFont val="Arial"/>
        <family val="2"/>
      </rPr>
      <t>2</t>
    </r>
    <r>
      <rPr>
        <b/>
        <sz val="14"/>
        <color indexed="52"/>
        <rFont val="Arial"/>
        <family val="2"/>
        <charset val="161"/>
      </rPr>
      <t xml:space="preserve">  </t>
    </r>
    <r>
      <rPr>
        <b/>
        <sz val="14"/>
        <color indexed="50"/>
        <rFont val="Symbol"/>
        <family val="1"/>
        <charset val="2"/>
      </rPr>
      <t>Û</t>
    </r>
    <r>
      <rPr>
        <b/>
        <sz val="14"/>
        <color indexed="52"/>
        <rFont val="Arial"/>
        <family val="2"/>
        <charset val="161"/>
      </rPr>
      <t xml:space="preserve">  k</t>
    </r>
    <r>
      <rPr>
        <b/>
        <vertAlign val="subscript"/>
        <sz val="14"/>
        <color indexed="52"/>
        <rFont val="Arial"/>
        <family val="2"/>
      </rPr>
      <t>1</t>
    </r>
    <r>
      <rPr>
        <b/>
        <sz val="14"/>
        <color indexed="52"/>
        <rFont val="Arial"/>
        <family val="2"/>
        <charset val="161"/>
      </rPr>
      <t>·[A]</t>
    </r>
    <r>
      <rPr>
        <b/>
        <vertAlign val="superscript"/>
        <sz val="14"/>
        <color indexed="52"/>
        <rFont val="Arial"/>
        <family val="2"/>
      </rPr>
      <t>α</t>
    </r>
    <r>
      <rPr>
        <b/>
        <sz val="14"/>
        <color indexed="52"/>
        <rFont val="Arial"/>
        <family val="2"/>
        <charset val="161"/>
      </rPr>
      <t>·[Β]</t>
    </r>
    <r>
      <rPr>
        <b/>
        <vertAlign val="superscript"/>
        <sz val="14"/>
        <color indexed="52"/>
        <rFont val="Arial"/>
        <family val="2"/>
      </rPr>
      <t>β</t>
    </r>
    <r>
      <rPr>
        <b/>
        <sz val="14"/>
        <color indexed="52"/>
        <rFont val="Arial"/>
        <family val="2"/>
        <charset val="161"/>
      </rPr>
      <t>=k</t>
    </r>
    <r>
      <rPr>
        <b/>
        <vertAlign val="subscript"/>
        <sz val="14"/>
        <color indexed="52"/>
        <rFont val="Arial"/>
        <family val="2"/>
      </rPr>
      <t>2</t>
    </r>
    <r>
      <rPr>
        <b/>
        <sz val="14"/>
        <color indexed="52"/>
        <rFont val="Arial"/>
        <family val="2"/>
        <charset val="161"/>
      </rPr>
      <t>·[Γ]</t>
    </r>
    <r>
      <rPr>
        <b/>
        <vertAlign val="superscript"/>
        <sz val="14"/>
        <color indexed="52"/>
        <rFont val="Arial"/>
        <family val="2"/>
      </rPr>
      <t>γ</t>
    </r>
    <r>
      <rPr>
        <b/>
        <sz val="14"/>
        <color indexed="52"/>
        <rFont val="Arial"/>
        <family val="2"/>
        <charset val="161"/>
      </rPr>
      <t>·[Δ]</t>
    </r>
    <r>
      <rPr>
        <b/>
        <vertAlign val="superscript"/>
        <sz val="14"/>
        <color indexed="52"/>
        <rFont val="Arial"/>
        <family val="2"/>
      </rPr>
      <t>δ</t>
    </r>
  </si>
  <si>
    <r>
      <t>[Γ]</t>
    </r>
    <r>
      <rPr>
        <b/>
        <vertAlign val="superscript"/>
        <sz val="14"/>
        <color indexed="50"/>
        <rFont val="Arial"/>
        <family val="2"/>
      </rPr>
      <t>γ</t>
    </r>
    <r>
      <rPr>
        <b/>
        <sz val="14"/>
        <color indexed="50"/>
        <rFont val="Arial"/>
        <family val="2"/>
      </rPr>
      <t>·[Δ]</t>
    </r>
    <r>
      <rPr>
        <b/>
        <vertAlign val="superscript"/>
        <sz val="14"/>
        <color indexed="50"/>
        <rFont val="Arial"/>
        <family val="2"/>
      </rPr>
      <t>δ</t>
    </r>
    <r>
      <rPr>
        <b/>
        <sz val="14"/>
        <color indexed="50"/>
        <rFont val="Arial"/>
        <family val="2"/>
      </rPr>
      <t xml:space="preserve">      k</t>
    </r>
    <r>
      <rPr>
        <b/>
        <vertAlign val="subscript"/>
        <sz val="14"/>
        <color indexed="50"/>
        <rFont val="Arial"/>
        <family val="2"/>
      </rPr>
      <t>1</t>
    </r>
  </si>
  <si>
    <r>
      <t>[Α]</t>
    </r>
    <r>
      <rPr>
        <b/>
        <vertAlign val="superscript"/>
        <sz val="14"/>
        <color indexed="50"/>
        <rFont val="Arial"/>
        <family val="2"/>
      </rPr>
      <t>α</t>
    </r>
    <r>
      <rPr>
        <b/>
        <sz val="14"/>
        <color indexed="50"/>
        <rFont val="Arial"/>
        <family val="2"/>
      </rPr>
      <t>·[Β]</t>
    </r>
    <r>
      <rPr>
        <b/>
        <vertAlign val="superscript"/>
        <sz val="14"/>
        <color indexed="50"/>
        <rFont val="Arial"/>
        <family val="2"/>
      </rPr>
      <t>β</t>
    </r>
    <r>
      <rPr>
        <b/>
        <sz val="14"/>
        <color indexed="50"/>
        <rFont val="Arial"/>
        <family val="2"/>
      </rPr>
      <t xml:space="preserve">      k</t>
    </r>
    <r>
      <rPr>
        <b/>
        <vertAlign val="subscript"/>
        <sz val="14"/>
        <color indexed="50"/>
        <rFont val="Arial"/>
        <family val="2"/>
      </rPr>
      <t>2</t>
    </r>
  </si>
  <si>
    <r>
      <t>K</t>
    </r>
    <r>
      <rPr>
        <b/>
        <vertAlign val="subscript"/>
        <sz val="18"/>
        <color indexed="50"/>
        <rFont val="Arial"/>
        <family val="2"/>
      </rPr>
      <t>C</t>
    </r>
  </si>
  <si>
    <r>
      <t>Ν</t>
    </r>
    <r>
      <rPr>
        <b/>
        <vertAlign val="subscript"/>
        <sz val="11"/>
        <color indexed="43"/>
        <rFont val="Arial"/>
        <family val="2"/>
        <charset val="161"/>
      </rPr>
      <t>2(g)</t>
    </r>
    <r>
      <rPr>
        <b/>
        <sz val="11"/>
        <color indexed="44"/>
        <rFont val="Arial"/>
        <family val="2"/>
        <charset val="161"/>
      </rPr>
      <t xml:space="preserve">  </t>
    </r>
    <r>
      <rPr>
        <b/>
        <sz val="11"/>
        <color indexed="10"/>
        <rFont val="Arial"/>
        <family val="2"/>
        <charset val="161"/>
      </rPr>
      <t>+</t>
    </r>
    <r>
      <rPr>
        <b/>
        <sz val="11"/>
        <color indexed="44"/>
        <rFont val="Arial"/>
        <family val="2"/>
        <charset val="161"/>
      </rPr>
      <t xml:space="preserve">  </t>
    </r>
    <r>
      <rPr>
        <b/>
        <sz val="11"/>
        <color indexed="52"/>
        <rFont val="Arial"/>
        <family val="2"/>
        <charset val="161"/>
      </rPr>
      <t>3</t>
    </r>
    <r>
      <rPr>
        <b/>
        <sz val="11"/>
        <color indexed="43"/>
        <rFont val="Arial"/>
        <family val="2"/>
        <charset val="161"/>
      </rPr>
      <t>Η</t>
    </r>
    <r>
      <rPr>
        <b/>
        <vertAlign val="subscript"/>
        <sz val="11"/>
        <color indexed="43"/>
        <rFont val="Arial"/>
        <family val="2"/>
        <charset val="161"/>
      </rPr>
      <t>2(g)</t>
    </r>
    <r>
      <rPr>
        <b/>
        <sz val="11"/>
        <color indexed="44"/>
        <rFont val="Arial"/>
        <family val="2"/>
        <charset val="161"/>
      </rPr>
      <t xml:space="preserve">  </t>
    </r>
    <r>
      <rPr>
        <b/>
        <sz val="11"/>
        <color indexed="10"/>
        <rFont val="Wingdings 3"/>
        <family val="1"/>
        <charset val="2"/>
      </rPr>
      <t>D</t>
    </r>
    <r>
      <rPr>
        <b/>
        <sz val="11"/>
        <color indexed="44"/>
        <rFont val="Arial"/>
        <family val="2"/>
      </rPr>
      <t xml:space="preserve">  </t>
    </r>
    <r>
      <rPr>
        <b/>
        <sz val="11"/>
        <color indexed="52"/>
        <rFont val="Arial"/>
        <family val="2"/>
        <charset val="161"/>
      </rPr>
      <t>2</t>
    </r>
    <r>
      <rPr>
        <b/>
        <sz val="11"/>
        <color indexed="43"/>
        <rFont val="Arial"/>
        <family val="2"/>
        <charset val="161"/>
      </rPr>
      <t>NH</t>
    </r>
    <r>
      <rPr>
        <b/>
        <vertAlign val="subscript"/>
        <sz val="11"/>
        <color indexed="43"/>
        <rFont val="Arial"/>
        <family val="2"/>
        <charset val="161"/>
      </rPr>
      <t>3(g)</t>
    </r>
    <r>
      <rPr>
        <b/>
        <sz val="11"/>
        <color indexed="43"/>
        <rFont val="Arial"/>
        <family val="2"/>
        <charset val="161"/>
      </rPr>
      <t xml:space="preserve"> </t>
    </r>
    <r>
      <rPr>
        <b/>
        <sz val="11"/>
        <color indexed="44"/>
        <rFont val="Arial"/>
        <family val="2"/>
        <charset val="161"/>
      </rPr>
      <t xml:space="preserve"> </t>
    </r>
  </si>
  <si>
    <r>
      <t xml:space="preserve">Στα κελιά </t>
    </r>
    <r>
      <rPr>
        <b/>
        <sz val="10"/>
        <color indexed="52"/>
        <rFont val="Arial"/>
        <family val="2"/>
        <charset val="161"/>
      </rPr>
      <t>F25,</t>
    </r>
    <r>
      <rPr>
        <sz val="10"/>
        <color indexed="43"/>
        <rFont val="Arial"/>
        <family val="2"/>
        <charset val="161"/>
      </rPr>
      <t xml:space="preserve"> </t>
    </r>
    <r>
      <rPr>
        <b/>
        <sz val="10"/>
        <color indexed="52"/>
        <rFont val="Arial"/>
        <family val="2"/>
        <charset val="161"/>
      </rPr>
      <t>F28</t>
    </r>
    <r>
      <rPr>
        <sz val="10"/>
        <color indexed="43"/>
        <rFont val="Arial"/>
        <family val="2"/>
        <charset val="161"/>
      </rPr>
      <t xml:space="preserve"> κλπ, που ακολουθούν παρακάτω και έχουν πορτοκαλί χρώμα, να γραφεί ή το γράμμα </t>
    </r>
    <r>
      <rPr>
        <b/>
        <sz val="10"/>
        <color indexed="52"/>
        <rFont val="Arial"/>
        <family val="2"/>
        <charset val="161"/>
      </rPr>
      <t>"Σ",</t>
    </r>
    <r>
      <rPr>
        <sz val="10"/>
        <color indexed="43"/>
        <rFont val="Arial"/>
        <family val="2"/>
        <charset val="161"/>
      </rPr>
      <t xml:space="preserve"> ή το γράμμα </t>
    </r>
    <r>
      <rPr>
        <b/>
        <sz val="10"/>
        <color indexed="52"/>
        <rFont val="Arial"/>
        <family val="2"/>
        <charset val="161"/>
      </rPr>
      <t>"Λ",</t>
    </r>
    <r>
      <rPr>
        <sz val="10"/>
        <color indexed="43"/>
        <rFont val="Arial"/>
        <family val="2"/>
        <charset val="161"/>
      </rPr>
      <t xml:space="preserve"> ανάλογα με το αν η αναγραφόμενη σχέση στο διπλανό πράσινο πλαίσιο είναι </t>
    </r>
    <r>
      <rPr>
        <b/>
        <sz val="10"/>
        <color indexed="52"/>
        <rFont val="Arial"/>
        <family val="2"/>
        <charset val="161"/>
      </rPr>
      <t>σωστή</t>
    </r>
    <r>
      <rPr>
        <sz val="10"/>
        <color indexed="43"/>
        <rFont val="Arial"/>
        <family val="2"/>
        <charset val="161"/>
      </rPr>
      <t xml:space="preserve"> ή </t>
    </r>
    <r>
      <rPr>
        <b/>
        <sz val="10"/>
        <color indexed="52"/>
        <rFont val="Arial"/>
        <family val="2"/>
        <charset val="161"/>
      </rPr>
      <t>λανθασμένη</t>
    </r>
    <r>
      <rPr>
        <sz val="10"/>
        <color indexed="43"/>
        <rFont val="Arial"/>
        <family val="2"/>
        <charset val="161"/>
      </rPr>
      <t xml:space="preserve"> αντίστοιχα.                                                                                                             </t>
    </r>
  </si>
  <si>
    <r>
      <t>Q</t>
    </r>
    <r>
      <rPr>
        <b/>
        <vertAlign val="subscript"/>
        <sz val="18"/>
        <color indexed="52"/>
        <rFont val="Arial"/>
        <family val="2"/>
        <charset val="161"/>
      </rPr>
      <t>C</t>
    </r>
    <r>
      <rPr>
        <b/>
        <sz val="18"/>
        <color indexed="52"/>
        <rFont val="Arial"/>
        <family val="2"/>
      </rPr>
      <t>=K</t>
    </r>
    <r>
      <rPr>
        <b/>
        <vertAlign val="subscript"/>
        <sz val="18"/>
        <color indexed="52"/>
        <rFont val="Arial"/>
        <family val="2"/>
        <charset val="161"/>
      </rPr>
      <t>C</t>
    </r>
  </si>
  <si>
    <r>
      <t xml:space="preserve">    Q</t>
    </r>
    <r>
      <rPr>
        <b/>
        <vertAlign val="subscript"/>
        <sz val="18"/>
        <color indexed="52"/>
        <rFont val="Arial"/>
        <family val="2"/>
      </rPr>
      <t>C</t>
    </r>
    <r>
      <rPr>
        <b/>
        <sz val="18"/>
        <color indexed="52"/>
        <rFont val="Arial"/>
        <family val="2"/>
      </rPr>
      <t>&gt;K</t>
    </r>
    <r>
      <rPr>
        <b/>
        <vertAlign val="subscript"/>
        <sz val="18"/>
        <color indexed="52"/>
        <rFont val="Arial"/>
        <family val="2"/>
      </rPr>
      <t>C</t>
    </r>
  </si>
  <si>
    <r>
      <t>[Γ]</t>
    </r>
    <r>
      <rPr>
        <b/>
        <vertAlign val="superscript"/>
        <sz val="14"/>
        <color indexed="52"/>
        <rFont val="Arial"/>
        <family val="2"/>
      </rPr>
      <t>γ</t>
    </r>
    <r>
      <rPr>
        <b/>
        <sz val="14"/>
        <color indexed="52"/>
        <rFont val="Arial"/>
        <family val="2"/>
      </rPr>
      <t>·[Δ]</t>
    </r>
    <r>
      <rPr>
        <b/>
        <vertAlign val="superscript"/>
        <sz val="14"/>
        <color indexed="52"/>
        <rFont val="Arial"/>
        <family val="2"/>
      </rPr>
      <t>δ</t>
    </r>
    <r>
      <rPr>
        <b/>
        <sz val="14"/>
        <color indexed="52"/>
        <rFont val="Arial"/>
        <family val="2"/>
      </rPr>
      <t xml:space="preserve">         k</t>
    </r>
    <r>
      <rPr>
        <b/>
        <vertAlign val="subscript"/>
        <sz val="14"/>
        <color indexed="52"/>
        <rFont val="Arial"/>
        <family val="2"/>
      </rPr>
      <t>1</t>
    </r>
  </si>
  <si>
    <r>
      <t>[Α]</t>
    </r>
    <r>
      <rPr>
        <b/>
        <vertAlign val="superscript"/>
        <sz val="14"/>
        <color indexed="52"/>
        <rFont val="Arial"/>
        <family val="2"/>
      </rPr>
      <t>α</t>
    </r>
    <r>
      <rPr>
        <b/>
        <sz val="14"/>
        <color indexed="52"/>
        <rFont val="Arial"/>
        <family val="2"/>
      </rPr>
      <t>·[Β]</t>
    </r>
    <r>
      <rPr>
        <b/>
        <vertAlign val="superscript"/>
        <sz val="14"/>
        <color indexed="52"/>
        <rFont val="Arial"/>
        <family val="2"/>
      </rPr>
      <t>β</t>
    </r>
    <r>
      <rPr>
        <b/>
        <sz val="14"/>
        <color indexed="52"/>
        <rFont val="Arial"/>
        <family val="2"/>
      </rPr>
      <t xml:space="preserve">         k</t>
    </r>
    <r>
      <rPr>
        <b/>
        <vertAlign val="subscript"/>
        <sz val="14"/>
        <color indexed="52"/>
        <rFont val="Arial"/>
        <family val="2"/>
      </rPr>
      <t>2</t>
    </r>
  </si>
  <si>
    <r>
      <t>k</t>
    </r>
    <r>
      <rPr>
        <b/>
        <vertAlign val="subscript"/>
        <sz val="12"/>
        <color indexed="52"/>
        <rFont val="Arial"/>
        <family val="2"/>
      </rPr>
      <t>1</t>
    </r>
    <r>
      <rPr>
        <b/>
        <sz val="12"/>
        <color indexed="52"/>
        <rFont val="Arial"/>
        <family val="2"/>
      </rPr>
      <t>·[Α]</t>
    </r>
    <r>
      <rPr>
        <b/>
        <vertAlign val="superscript"/>
        <sz val="12"/>
        <color indexed="52"/>
        <rFont val="Arial"/>
        <family val="2"/>
      </rPr>
      <t>α</t>
    </r>
    <r>
      <rPr>
        <b/>
        <sz val="12"/>
        <color indexed="52"/>
        <rFont val="Arial"/>
        <family val="2"/>
      </rPr>
      <t>·[Β]</t>
    </r>
    <r>
      <rPr>
        <b/>
        <vertAlign val="superscript"/>
        <sz val="12"/>
        <color indexed="52"/>
        <rFont val="Arial"/>
        <family val="2"/>
      </rPr>
      <t xml:space="preserve">β </t>
    </r>
    <r>
      <rPr>
        <b/>
        <sz val="12"/>
        <color indexed="52"/>
        <rFont val="Arial"/>
        <family val="2"/>
      </rPr>
      <t>&lt; k</t>
    </r>
    <r>
      <rPr>
        <b/>
        <vertAlign val="subscript"/>
        <sz val="12"/>
        <color indexed="52"/>
        <rFont val="Arial"/>
        <family val="2"/>
      </rPr>
      <t>2</t>
    </r>
    <r>
      <rPr>
        <b/>
        <sz val="12"/>
        <color indexed="52"/>
        <rFont val="Arial"/>
        <family val="2"/>
      </rPr>
      <t>·[Γ]</t>
    </r>
    <r>
      <rPr>
        <b/>
        <vertAlign val="superscript"/>
        <sz val="12"/>
        <color indexed="52"/>
        <rFont val="Arial"/>
        <family val="2"/>
      </rPr>
      <t>γ</t>
    </r>
    <r>
      <rPr>
        <b/>
        <sz val="12"/>
        <color indexed="52"/>
        <rFont val="Arial"/>
        <family val="2"/>
      </rPr>
      <t>·[Δ]</t>
    </r>
    <r>
      <rPr>
        <b/>
        <vertAlign val="superscript"/>
        <sz val="12"/>
        <color indexed="52"/>
        <rFont val="Arial"/>
        <family val="2"/>
      </rPr>
      <t>δ</t>
    </r>
  </si>
  <si>
    <r>
      <t>υ</t>
    </r>
    <r>
      <rPr>
        <b/>
        <vertAlign val="subscript"/>
        <sz val="12"/>
        <color indexed="52"/>
        <rFont val="Arial"/>
        <family val="2"/>
      </rPr>
      <t xml:space="preserve">1 </t>
    </r>
    <r>
      <rPr>
        <b/>
        <sz val="12"/>
        <color indexed="52"/>
        <rFont val="Arial"/>
        <family val="2"/>
      </rPr>
      <t>&lt; υ</t>
    </r>
    <r>
      <rPr>
        <b/>
        <vertAlign val="subscript"/>
        <sz val="12"/>
        <color indexed="52"/>
        <rFont val="Arial"/>
        <family val="2"/>
      </rPr>
      <t>2</t>
    </r>
  </si>
  <si>
    <r>
      <t xml:space="preserve">Ακολουθούν </t>
    </r>
    <r>
      <rPr>
        <b/>
        <sz val="10"/>
        <color indexed="52"/>
        <rFont val="Arial"/>
        <family val="2"/>
        <charset val="161"/>
      </rPr>
      <t>γενικά</t>
    </r>
    <r>
      <rPr>
        <sz val="10"/>
        <color indexed="43"/>
        <rFont val="Arial"/>
        <family val="2"/>
        <charset val="161"/>
      </rPr>
      <t xml:space="preserve"> προβλήματα ΧΙ.</t>
    </r>
  </si>
  <si>
    <r>
      <t xml:space="preserve">Στη σειρά του παραπάνω πίνακα </t>
    </r>
    <r>
      <rPr>
        <b/>
        <sz val="10"/>
        <color indexed="52"/>
        <rFont val="Arial"/>
        <family val="2"/>
        <charset val="161"/>
      </rPr>
      <t>"αντέδρασαν"</t>
    </r>
    <r>
      <rPr>
        <sz val="10"/>
        <color indexed="43"/>
        <rFont val="Arial"/>
        <family val="2"/>
        <charset val="161"/>
      </rPr>
      <t xml:space="preserve"> να γραφεί στο κατάλληλο κελί η αντίστοιχη ποσότητα που αντέδρασε και να συμ-βολισθεί ως </t>
    </r>
    <r>
      <rPr>
        <b/>
        <sz val="10"/>
        <color indexed="52"/>
        <rFont val="Arial"/>
        <family val="2"/>
        <charset val="161"/>
      </rPr>
      <t>"xmol"</t>
    </r>
    <r>
      <rPr>
        <sz val="10"/>
        <color indexed="43"/>
        <rFont val="Arial"/>
        <family val="2"/>
        <charset val="161"/>
      </rPr>
      <t xml:space="preserve"> ή </t>
    </r>
    <r>
      <rPr>
        <b/>
        <sz val="10"/>
        <color indexed="52"/>
        <rFont val="Arial"/>
        <family val="2"/>
        <charset val="161"/>
      </rPr>
      <t>"2xmol",</t>
    </r>
    <r>
      <rPr>
        <sz val="10"/>
        <color indexed="43"/>
        <rFont val="Arial"/>
        <family val="2"/>
        <charset val="161"/>
      </rPr>
      <t xml:space="preserve"> ανάλογα βέβαια με το αν αναφέ-ρεται στο </t>
    </r>
    <r>
      <rPr>
        <b/>
        <sz val="10"/>
        <color indexed="52"/>
        <rFont val="Arial"/>
        <family val="2"/>
        <charset val="161"/>
      </rPr>
      <t>Ν</t>
    </r>
    <r>
      <rPr>
        <b/>
        <vertAlign val="subscript"/>
        <sz val="10"/>
        <color indexed="52"/>
        <rFont val="Arial"/>
        <family val="2"/>
        <charset val="161"/>
      </rPr>
      <t>2</t>
    </r>
    <r>
      <rPr>
        <b/>
        <sz val="10"/>
        <color indexed="52"/>
        <rFont val="Arial"/>
        <family val="2"/>
        <charset val="161"/>
      </rPr>
      <t>Ο</t>
    </r>
    <r>
      <rPr>
        <b/>
        <vertAlign val="subscript"/>
        <sz val="10"/>
        <color indexed="52"/>
        <rFont val="Arial"/>
        <family val="2"/>
        <charset val="161"/>
      </rPr>
      <t>4</t>
    </r>
    <r>
      <rPr>
        <sz val="10"/>
        <color indexed="43"/>
        <rFont val="Arial"/>
        <family val="2"/>
        <charset val="161"/>
      </rPr>
      <t xml:space="preserve"> ή το </t>
    </r>
    <r>
      <rPr>
        <b/>
        <sz val="10"/>
        <color indexed="52"/>
        <rFont val="Arial"/>
        <family val="2"/>
        <charset val="161"/>
      </rPr>
      <t>ΝΟ</t>
    </r>
    <r>
      <rPr>
        <b/>
        <vertAlign val="subscript"/>
        <sz val="10"/>
        <color indexed="52"/>
        <rFont val="Arial"/>
        <family val="2"/>
        <charset val="161"/>
      </rPr>
      <t>2</t>
    </r>
    <r>
      <rPr>
        <sz val="10"/>
        <color indexed="43"/>
        <rFont val="Arial"/>
        <family val="2"/>
        <charset val="161"/>
      </rPr>
      <t xml:space="preserve"> αντίστοιχα,</t>
    </r>
    <r>
      <rPr>
        <sz val="10"/>
        <color indexed="52"/>
        <rFont val="Arial"/>
        <family val="2"/>
        <charset val="161"/>
      </rPr>
      <t xml:space="preserve"> </t>
    </r>
    <r>
      <rPr>
        <b/>
        <sz val="10"/>
        <color indexed="52"/>
        <rFont val="Arial"/>
        <family val="2"/>
        <charset val="161"/>
      </rPr>
      <t>(λατινικό αλφάβητο).</t>
    </r>
    <r>
      <rPr>
        <sz val="10"/>
        <color indexed="43"/>
        <rFont val="Arial"/>
        <family val="2"/>
        <charset val="161"/>
      </rPr>
      <t xml:space="preserve"> Προ-φανώς το ένα από τα δυο κελιά θα μείνει κενό. Ανάλογα θα γίνει και η συμπλήρωση της σειράς </t>
    </r>
    <r>
      <rPr>
        <b/>
        <sz val="10"/>
        <color indexed="52"/>
        <rFont val="Arial"/>
        <family val="2"/>
        <charset val="161"/>
      </rPr>
      <t>"παράχθηκαν".</t>
    </r>
    <r>
      <rPr>
        <b/>
        <sz val="10"/>
        <color indexed="43"/>
        <rFont val="Arial"/>
        <family val="2"/>
      </rPr>
      <t xml:space="preserve"> </t>
    </r>
    <r>
      <rPr>
        <sz val="10"/>
        <color indexed="43"/>
        <rFont val="Arial"/>
        <family val="2"/>
      </rPr>
      <t xml:space="preserve">Η ίδια παρατήρη-ση ισχύει και για τα προβλήματα </t>
    </r>
    <r>
      <rPr>
        <b/>
        <sz val="10"/>
        <color indexed="52"/>
        <rFont val="Arial"/>
        <family val="2"/>
        <charset val="161"/>
      </rPr>
      <t>8γ,</t>
    </r>
    <r>
      <rPr>
        <sz val="10"/>
        <color indexed="43"/>
        <rFont val="Arial"/>
        <family val="2"/>
      </rPr>
      <t xml:space="preserve"> </t>
    </r>
    <r>
      <rPr>
        <b/>
        <sz val="10"/>
        <color indexed="52"/>
        <rFont val="Arial"/>
        <family val="2"/>
        <charset val="161"/>
      </rPr>
      <t xml:space="preserve">8δ, </t>
    </r>
    <r>
      <rPr>
        <sz val="10"/>
        <color indexed="43"/>
        <rFont val="Arial"/>
        <family val="2"/>
        <charset val="161"/>
      </rPr>
      <t>αλλά και</t>
    </r>
    <r>
      <rPr>
        <b/>
        <sz val="10"/>
        <color indexed="52"/>
        <rFont val="Arial"/>
        <family val="2"/>
        <charset val="161"/>
      </rPr>
      <t xml:space="preserve"> 11α </t>
    </r>
    <r>
      <rPr>
        <sz val="10"/>
        <color indexed="43"/>
        <rFont val="Arial"/>
        <family val="2"/>
        <charset val="161"/>
      </rPr>
      <t>και</t>
    </r>
    <r>
      <rPr>
        <b/>
        <sz val="10"/>
        <color indexed="52"/>
        <rFont val="Arial"/>
        <family val="2"/>
        <charset val="161"/>
      </rPr>
      <t xml:space="preserve"> 11β.</t>
    </r>
    <r>
      <rPr>
        <b/>
        <sz val="10"/>
        <color indexed="43"/>
        <rFont val="Arial"/>
        <family val="2"/>
      </rPr>
      <t xml:space="preserve"> </t>
    </r>
    <r>
      <rPr>
        <sz val="10"/>
        <color indexed="43"/>
        <rFont val="Arial"/>
        <family val="2"/>
        <charset val="161"/>
      </rPr>
      <t xml:space="preserve"> </t>
    </r>
  </si>
  <si>
    <r>
      <t xml:space="preserve">Καταλαβαίνουμε ότι η κατάληξη μιας </t>
    </r>
    <r>
      <rPr>
        <b/>
        <sz val="10"/>
        <color indexed="52"/>
        <rFont val="Arial"/>
        <family val="2"/>
        <charset val="161"/>
      </rPr>
      <t>μονόδρομης</t>
    </r>
    <r>
      <rPr>
        <sz val="10"/>
        <color indexed="43"/>
        <rFont val="Arial"/>
        <family val="2"/>
        <charset val="161"/>
      </rPr>
      <t xml:space="preserve"> αντίδρασης, είναι να σταματήσει κάποια στιγμή να πραγματοποιείται. Αυτό συμβαίνει όταν καταναλωθεί όλη η ποσότητα, τουλάχιστον ενός από τα αντιδρώντα. Έτσι η αντίδραση ανάμεσα στο </t>
    </r>
    <r>
      <rPr>
        <b/>
        <sz val="10"/>
        <color indexed="52"/>
        <rFont val="Arial"/>
        <family val="2"/>
        <charset val="161"/>
      </rPr>
      <t>Η</t>
    </r>
    <r>
      <rPr>
        <b/>
        <vertAlign val="subscript"/>
        <sz val="10"/>
        <color indexed="52"/>
        <rFont val="Arial"/>
        <family val="2"/>
        <charset val="161"/>
      </rPr>
      <t>2</t>
    </r>
    <r>
      <rPr>
        <sz val="10"/>
        <color indexed="43"/>
        <rFont val="Arial"/>
        <family val="2"/>
        <charset val="161"/>
      </rPr>
      <t xml:space="preserve"> και το </t>
    </r>
    <r>
      <rPr>
        <b/>
        <sz val="10"/>
        <color indexed="52"/>
        <rFont val="Arial"/>
        <family val="2"/>
        <charset val="161"/>
      </rPr>
      <t>Cl</t>
    </r>
    <r>
      <rPr>
        <b/>
        <vertAlign val="subscript"/>
        <sz val="10"/>
        <color indexed="52"/>
        <rFont val="Arial"/>
        <family val="2"/>
        <charset val="161"/>
      </rPr>
      <t>2</t>
    </r>
    <r>
      <rPr>
        <sz val="10"/>
        <color indexed="43"/>
        <rFont val="Arial"/>
        <family val="2"/>
        <charset val="161"/>
      </rPr>
      <t xml:space="preserve"> προς σχηματισμό </t>
    </r>
    <r>
      <rPr>
        <b/>
        <sz val="10"/>
        <color indexed="52"/>
        <rFont val="Arial"/>
        <family val="2"/>
        <charset val="161"/>
      </rPr>
      <t>HCl,</t>
    </r>
    <r>
      <rPr>
        <b/>
        <sz val="10"/>
        <color indexed="43"/>
        <rFont val="Arial"/>
        <family val="2"/>
      </rPr>
      <t xml:space="preserve"> </t>
    </r>
    <r>
      <rPr>
        <sz val="10"/>
        <color indexed="43"/>
        <rFont val="Arial"/>
        <family val="2"/>
        <charset val="161"/>
      </rPr>
      <t>σύμφωνα με την εξίσωση...</t>
    </r>
  </si>
  <si>
    <r>
      <t>"</t>
    </r>
    <r>
      <rPr>
        <sz val="12"/>
        <color indexed="43"/>
        <rFont val="Arial"/>
        <family val="2"/>
      </rPr>
      <t>Λίγα" λόγια για τη</t>
    </r>
    <r>
      <rPr>
        <b/>
        <sz val="12"/>
        <color indexed="43"/>
        <rFont val="Arial"/>
        <family val="2"/>
      </rPr>
      <t xml:space="preserve"> </t>
    </r>
    <r>
      <rPr>
        <b/>
        <sz val="12"/>
        <color indexed="53"/>
        <rFont val="Arial"/>
        <family val="2"/>
        <charset val="161"/>
      </rPr>
      <t>Χημική Ισορροπία...</t>
    </r>
  </si>
  <si>
    <r>
      <t xml:space="preserve">...σταματά να γίνεται, όταν τελειώσει το </t>
    </r>
    <r>
      <rPr>
        <b/>
        <sz val="10"/>
        <color indexed="52"/>
        <rFont val="Arial"/>
        <family val="2"/>
        <charset val="161"/>
      </rPr>
      <t>Η</t>
    </r>
    <r>
      <rPr>
        <b/>
        <vertAlign val="subscript"/>
        <sz val="10"/>
        <color indexed="52"/>
        <rFont val="Arial"/>
        <family val="2"/>
        <charset val="161"/>
      </rPr>
      <t>2</t>
    </r>
    <r>
      <rPr>
        <sz val="10"/>
        <color indexed="43"/>
        <rFont val="Arial"/>
        <family val="2"/>
        <charset val="161"/>
      </rPr>
      <t xml:space="preserve"> ή το </t>
    </r>
    <r>
      <rPr>
        <b/>
        <sz val="10"/>
        <color indexed="52"/>
        <rFont val="Arial"/>
        <family val="2"/>
        <charset val="161"/>
      </rPr>
      <t>Cl</t>
    </r>
    <r>
      <rPr>
        <b/>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Εάν χρησιμοποιηθούν από την αρχή </t>
    </r>
    <r>
      <rPr>
        <b/>
        <sz val="10"/>
        <color indexed="52"/>
        <rFont val="Arial"/>
        <family val="2"/>
        <charset val="161"/>
      </rPr>
      <t>στοιχειομετρικές</t>
    </r>
    <r>
      <rPr>
        <sz val="10"/>
        <color indexed="43"/>
        <rFont val="Arial"/>
        <family val="2"/>
        <charset val="161"/>
      </rPr>
      <t xml:space="preserve"> ποσότητες των αντιδρώντων, στο τέλος της αντίδρασης, στο χώρο όπου γίνεται αυτή, θα υπάρχουν μόνο τα προϊόντα. Έτσι αν στην παραπάνω αντίδραση χρησιμοποιηθούν αρχικά, </t>
    </r>
    <r>
      <rPr>
        <b/>
        <sz val="10"/>
        <color indexed="52"/>
        <rFont val="Arial"/>
        <family val="2"/>
        <charset val="161"/>
      </rPr>
      <t>5mol H</t>
    </r>
    <r>
      <rPr>
        <b/>
        <vertAlign val="subscript"/>
        <sz val="10"/>
        <color indexed="52"/>
        <rFont val="Arial"/>
        <family val="2"/>
        <charset val="161"/>
      </rPr>
      <t>2</t>
    </r>
    <r>
      <rPr>
        <sz val="10"/>
        <color indexed="43"/>
        <rFont val="Arial"/>
        <family val="2"/>
        <charset val="161"/>
      </rPr>
      <t xml:space="preserve"> και </t>
    </r>
    <r>
      <rPr>
        <b/>
        <sz val="10"/>
        <color indexed="52"/>
        <rFont val="Arial"/>
        <family val="2"/>
        <charset val="161"/>
      </rPr>
      <t>5mol Cl</t>
    </r>
    <r>
      <rPr>
        <b/>
        <vertAlign val="subscript"/>
        <sz val="10"/>
        <color indexed="52"/>
        <rFont val="Arial"/>
        <family val="2"/>
        <charset val="161"/>
      </rPr>
      <t>2</t>
    </r>
    <r>
      <rPr>
        <b/>
        <sz val="10"/>
        <color indexed="52"/>
        <rFont val="Arial"/>
        <family val="2"/>
        <charset val="161"/>
      </rPr>
      <t>,</t>
    </r>
    <r>
      <rPr>
        <b/>
        <sz val="10"/>
        <color indexed="43"/>
        <rFont val="Arial"/>
        <family val="2"/>
      </rPr>
      <t xml:space="preserve"> </t>
    </r>
    <r>
      <rPr>
        <sz val="10"/>
        <color indexed="43"/>
        <rFont val="Arial"/>
        <family val="2"/>
        <charset val="161"/>
      </rPr>
      <t xml:space="preserve">στο χώρο της αντίδρασης, θα περιέχο-νται τελικά </t>
    </r>
    <r>
      <rPr>
        <b/>
        <sz val="10"/>
        <color indexed="52"/>
        <rFont val="Arial"/>
        <family val="2"/>
        <charset val="161"/>
      </rPr>
      <t>10mol HCl,</t>
    </r>
    <r>
      <rPr>
        <b/>
        <sz val="10"/>
        <color indexed="43"/>
        <rFont val="Arial"/>
        <family val="2"/>
      </rPr>
      <t xml:space="preserve"> </t>
    </r>
    <r>
      <rPr>
        <sz val="10"/>
        <color indexed="43"/>
        <rFont val="Arial"/>
        <family val="2"/>
        <charset val="161"/>
      </rPr>
      <t>όπως φαίνεται και από την κατάστρωση που ακολουθεί.</t>
    </r>
  </si>
  <si>
    <r>
      <t xml:space="preserve">Εάν οι ποσότητες των αντιδρώντων που λαμβάνονται αρχικά, δεν είναι στοιχειομετρικές, αλλά κά-ποιο από αυτά είναι σε </t>
    </r>
    <r>
      <rPr>
        <b/>
        <sz val="10"/>
        <color indexed="52"/>
        <rFont val="Arial"/>
        <family val="2"/>
        <charset val="161"/>
      </rPr>
      <t>περίσσεια,</t>
    </r>
    <r>
      <rPr>
        <sz val="10"/>
        <color indexed="43"/>
        <rFont val="Arial"/>
        <family val="2"/>
        <charset val="161"/>
      </rPr>
      <t xml:space="preserve"> τότε στο τέλος της αντίδρασης, θα περιέχονται στο χώρο όπου γίνεται αυτή, τα προϊόντα, αλλά και η παραπανίσια ποσότητα από το αντιδρών που χρησιμοποιή-θηκε σε περίσσεια. Σχετικό είναι το παράδειγμα που ακολουθεί... </t>
    </r>
  </si>
  <si>
    <r>
      <t xml:space="preserve">Στην περίπτωση όμως μιας </t>
    </r>
    <r>
      <rPr>
        <b/>
        <sz val="10"/>
        <color indexed="52"/>
        <rFont val="Arial"/>
        <family val="2"/>
        <charset val="161"/>
      </rPr>
      <t>αμφίδρομης</t>
    </r>
    <r>
      <rPr>
        <sz val="10"/>
        <color indexed="43"/>
        <rFont val="Arial"/>
        <family val="2"/>
        <charset val="161"/>
      </rPr>
      <t xml:space="preserve"> αντίδρασης, τα πράγματα είναι διαφορετικά.  
Έστω για παράδειγμα η υποθετική αμφίδρομη αντίδραση, ανάμεσα στα αέρια </t>
    </r>
    <r>
      <rPr>
        <b/>
        <sz val="10"/>
        <color indexed="52"/>
        <rFont val="Arial"/>
        <family val="2"/>
        <charset val="161"/>
      </rPr>
      <t>Α</t>
    </r>
    <r>
      <rPr>
        <sz val="10"/>
        <color indexed="43"/>
        <rFont val="Arial"/>
        <family val="2"/>
        <charset val="161"/>
      </rPr>
      <t xml:space="preserve"> και </t>
    </r>
    <r>
      <rPr>
        <b/>
        <sz val="10"/>
        <color indexed="52"/>
        <rFont val="Arial"/>
        <family val="2"/>
        <charset val="161"/>
      </rPr>
      <t>Β</t>
    </r>
    <r>
      <rPr>
        <b/>
        <sz val="10"/>
        <color indexed="43"/>
        <rFont val="Arial"/>
        <family val="2"/>
      </rPr>
      <t xml:space="preserve"> </t>
    </r>
    <r>
      <rPr>
        <sz val="10"/>
        <color indexed="43"/>
        <rFont val="Arial"/>
        <family val="2"/>
        <charset val="161"/>
      </rPr>
      <t xml:space="preserve">με προϊόντα τα επίσης αέρια </t>
    </r>
    <r>
      <rPr>
        <b/>
        <sz val="10"/>
        <color indexed="52"/>
        <rFont val="Arial"/>
        <family val="2"/>
        <charset val="161"/>
      </rPr>
      <t>Γ</t>
    </r>
    <r>
      <rPr>
        <sz val="10"/>
        <color indexed="43"/>
        <rFont val="Arial"/>
        <family val="2"/>
        <charset val="161"/>
      </rPr>
      <t xml:space="preserve"> και</t>
    </r>
    <r>
      <rPr>
        <b/>
        <sz val="10"/>
        <color indexed="43"/>
        <rFont val="Arial"/>
        <family val="2"/>
      </rPr>
      <t xml:space="preserve"> </t>
    </r>
    <r>
      <rPr>
        <b/>
        <sz val="10"/>
        <color indexed="52"/>
        <rFont val="Arial"/>
        <family val="2"/>
        <charset val="161"/>
      </rPr>
      <t>Δ</t>
    </r>
    <r>
      <rPr>
        <sz val="10"/>
        <color indexed="43"/>
        <rFont val="Arial"/>
        <family val="2"/>
        <charset val="161"/>
      </rPr>
      <t xml:space="preserve"> σύμφωνα με την εξίσωση... </t>
    </r>
  </si>
  <si>
    <r>
      <t xml:space="preserve">Όπως φαίνεται από τη χημική εξίσωση της αντίδρασης, όταν αντιδρούν </t>
    </r>
    <r>
      <rPr>
        <b/>
        <sz val="10"/>
        <color indexed="52"/>
        <rFont val="Arial"/>
        <family val="2"/>
        <charset val="161"/>
      </rPr>
      <t>"αmol"</t>
    </r>
    <r>
      <rPr>
        <sz val="10"/>
        <color indexed="43"/>
        <rFont val="Arial"/>
        <family val="2"/>
        <charset val="161"/>
      </rPr>
      <t xml:space="preserve"> του αερίου </t>
    </r>
    <r>
      <rPr>
        <b/>
        <sz val="10"/>
        <color indexed="52"/>
        <rFont val="Arial"/>
        <family val="2"/>
        <charset val="161"/>
      </rPr>
      <t>Α,</t>
    </r>
    <r>
      <rPr>
        <sz val="10"/>
        <color indexed="43"/>
        <rFont val="Arial"/>
        <family val="2"/>
        <charset val="161"/>
      </rPr>
      <t xml:space="preserve"> με </t>
    </r>
    <r>
      <rPr>
        <b/>
        <sz val="10"/>
        <color indexed="52"/>
        <rFont val="Arial"/>
        <family val="2"/>
        <charset val="161"/>
      </rPr>
      <t>"βmol"</t>
    </r>
    <r>
      <rPr>
        <sz val="10"/>
        <color indexed="43"/>
        <rFont val="Arial"/>
        <family val="2"/>
        <charset val="161"/>
      </rPr>
      <t xml:space="preserve"> του αερίου </t>
    </r>
    <r>
      <rPr>
        <b/>
        <sz val="10"/>
        <color indexed="52"/>
        <rFont val="Arial"/>
        <family val="2"/>
        <charset val="161"/>
      </rPr>
      <t>Β,</t>
    </r>
    <r>
      <rPr>
        <sz val="10"/>
        <color indexed="43"/>
        <rFont val="Arial"/>
        <family val="2"/>
        <charset val="161"/>
      </rPr>
      <t xml:space="preserve"> παράγονται </t>
    </r>
    <r>
      <rPr>
        <b/>
        <sz val="10"/>
        <color indexed="52"/>
        <rFont val="Arial"/>
        <family val="2"/>
        <charset val="161"/>
      </rPr>
      <t>"γmol"</t>
    </r>
    <r>
      <rPr>
        <sz val="10"/>
        <color indexed="43"/>
        <rFont val="Arial"/>
        <family val="2"/>
        <charset val="161"/>
      </rPr>
      <t xml:space="preserve"> του αερίου </t>
    </r>
    <r>
      <rPr>
        <b/>
        <sz val="10"/>
        <color indexed="52"/>
        <rFont val="Arial"/>
        <family val="2"/>
        <charset val="161"/>
      </rPr>
      <t>Γ</t>
    </r>
    <r>
      <rPr>
        <sz val="10"/>
        <color indexed="43"/>
        <rFont val="Arial"/>
        <family val="2"/>
        <charset val="161"/>
      </rPr>
      <t xml:space="preserve"> και </t>
    </r>
    <r>
      <rPr>
        <b/>
        <sz val="10"/>
        <color indexed="52"/>
        <rFont val="Arial"/>
        <family val="2"/>
        <charset val="161"/>
      </rPr>
      <t>"δmol"</t>
    </r>
    <r>
      <rPr>
        <sz val="10"/>
        <color indexed="43"/>
        <rFont val="Arial"/>
        <family val="2"/>
      </rPr>
      <t xml:space="preserve"> </t>
    </r>
    <r>
      <rPr>
        <sz val="10"/>
        <color indexed="43"/>
        <rFont val="Arial"/>
        <family val="2"/>
        <charset val="161"/>
      </rPr>
      <t xml:space="preserve">του αερίου </t>
    </r>
    <r>
      <rPr>
        <b/>
        <sz val="10"/>
        <color indexed="52"/>
        <rFont val="Arial"/>
        <family val="2"/>
        <charset val="161"/>
      </rPr>
      <t>Δ.</t>
    </r>
    <r>
      <rPr>
        <b/>
        <sz val="10"/>
        <color indexed="43"/>
        <rFont val="Arial"/>
        <family val="2"/>
      </rPr>
      <t xml:space="preserve"> </t>
    </r>
    <r>
      <rPr>
        <sz val="10"/>
        <color indexed="43"/>
        <rFont val="Arial"/>
        <family val="2"/>
        <charset val="161"/>
      </rPr>
      <t xml:space="preserve">Αν λοιπόν υπο-θέσουμε ότι αρχικά φέρονται στο χώρο της αντίδρασης ορισμένες ποσότητες των αερίων </t>
    </r>
    <r>
      <rPr>
        <b/>
        <sz val="10"/>
        <color indexed="52"/>
        <rFont val="Arial"/>
        <family val="2"/>
        <charset val="161"/>
      </rPr>
      <t>Α</t>
    </r>
    <r>
      <rPr>
        <sz val="10"/>
        <color indexed="43"/>
        <rFont val="Arial"/>
        <family val="2"/>
        <charset val="161"/>
      </rPr>
      <t xml:space="preserve"> και </t>
    </r>
    <r>
      <rPr>
        <b/>
        <sz val="10"/>
        <color indexed="52"/>
        <rFont val="Arial"/>
        <family val="2"/>
        <charset val="161"/>
      </rPr>
      <t>Β,</t>
    </r>
    <r>
      <rPr>
        <sz val="10"/>
        <color indexed="43"/>
        <rFont val="Arial"/>
        <family val="2"/>
        <charset val="161"/>
      </rPr>
      <t xml:space="preserve"> τότε μπορούμε να σημειώσουμε τα παρακάτω...</t>
    </r>
  </si>
  <si>
    <r>
      <t xml:space="preserve">Αυτή η κατάσταση στην οποία οδηγείται από μόνο του ένα σύστημα χημικών ουσιών, ανάμεσα στις οποίες εκτυλίσσεται μια αμφίδρομη αλληλεπίδραση, κατά την οποία οι ποσότητες όλων των ουσιών παραμένουν χρονικά αμετάβλητες, ονομάζεται </t>
    </r>
    <r>
      <rPr>
        <b/>
        <sz val="10"/>
        <color indexed="53"/>
        <rFont val="Arial"/>
        <family val="2"/>
        <charset val="161"/>
      </rPr>
      <t>"κατάσταση χημικής ισορροπίας" (ΚΧΙ).</t>
    </r>
  </si>
  <si>
    <t>Γενικά μπορούμε να πούμε ότι ισχύει η παρακάτω ισοδυναμία…</t>
  </si>
  <si>
    <t xml:space="preserve">Θεωρώντας για λόγους απλότητας, ότι οι επιμέρους αντιδράσεις που συνθέτουν την αμφίδρομη αντί-δραση, είναι απλές, μπορούμε να γράψουμε για την ταχύτητα κάθε αντίδρασης, σύμφωνα με το νό-μο της ταχύτητας... </t>
  </si>
  <si>
    <r>
      <t xml:space="preserve">Υπενθυμίζεται ότι </t>
    </r>
    <r>
      <rPr>
        <b/>
        <sz val="11"/>
        <color indexed="52"/>
        <rFont val="Arial"/>
        <family val="2"/>
        <charset val="161"/>
      </rPr>
      <t>"</t>
    </r>
    <r>
      <rPr>
        <b/>
        <sz val="10"/>
        <color indexed="52"/>
        <rFont val="Arial"/>
        <family val="2"/>
        <charset val="161"/>
      </rPr>
      <t>k</t>
    </r>
    <r>
      <rPr>
        <b/>
        <vertAlign val="subscript"/>
        <sz val="10"/>
        <color indexed="52"/>
        <rFont val="Arial"/>
        <family val="2"/>
        <charset val="161"/>
      </rPr>
      <t>1</t>
    </r>
    <r>
      <rPr>
        <b/>
        <sz val="10"/>
        <color indexed="52"/>
        <rFont val="Arial"/>
        <family val="2"/>
        <charset val="161"/>
      </rPr>
      <t>"</t>
    </r>
    <r>
      <rPr>
        <sz val="10"/>
        <color indexed="43"/>
        <rFont val="Arial"/>
        <family val="2"/>
        <charset val="161"/>
      </rPr>
      <t xml:space="preserve"> είναι η σταθερά της ταχύτητας πραγματοποίησης της </t>
    </r>
    <r>
      <rPr>
        <b/>
        <sz val="10"/>
        <color indexed="52"/>
        <rFont val="Arial"/>
        <family val="2"/>
        <charset val="161"/>
      </rPr>
      <t>"αντίδρασης 1",</t>
    </r>
    <r>
      <rPr>
        <b/>
        <sz val="10"/>
        <color indexed="43"/>
        <rFont val="Arial"/>
        <family val="2"/>
      </rPr>
      <t xml:space="preserve"> </t>
    </r>
    <r>
      <rPr>
        <sz val="10"/>
        <color indexed="43"/>
        <rFont val="Arial"/>
        <family val="2"/>
        <charset val="161"/>
      </rPr>
      <t xml:space="preserve">ενώ </t>
    </r>
    <r>
      <rPr>
        <b/>
        <sz val="10"/>
        <color indexed="52"/>
        <rFont val="Arial"/>
        <family val="2"/>
        <charset val="161"/>
      </rPr>
      <t>"k</t>
    </r>
    <r>
      <rPr>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είναι η σταθερά της ταχύτητας με την οποία γίνεται η </t>
    </r>
    <r>
      <rPr>
        <b/>
        <sz val="10"/>
        <color indexed="52"/>
        <rFont val="Arial"/>
        <family val="2"/>
        <charset val="161"/>
      </rPr>
      <t>"αντίδραση 2".</t>
    </r>
  </si>
  <si>
    <t xml:space="preserve">Προφανώς αφού για την ΚΧΙ ισχύει η ισοδυναμία που αναφέρθηκε παραπάνω, θα μπορούμε να γράψουμε... </t>
  </si>
  <si>
    <t>Μετατρέποντας την τελευταία σχέση σε αναλογία, έχουμε…</t>
  </si>
  <si>
    <r>
      <t>Tο πηλίκο που εμφανίζεται, στο 1ο μέλος της τελευταίας σχέσης, ονομάζεται</t>
    </r>
    <r>
      <rPr>
        <b/>
        <sz val="10"/>
        <color indexed="43"/>
        <rFont val="Arial"/>
        <family val="2"/>
      </rPr>
      <t xml:space="preserve"> </t>
    </r>
    <r>
      <rPr>
        <b/>
        <sz val="10"/>
        <color indexed="52"/>
        <rFont val="Arial"/>
        <family val="2"/>
        <charset val="161"/>
      </rPr>
      <t>"πηλίκο της αμφί-δρομης αντίδρασης",</t>
    </r>
    <r>
      <rPr>
        <b/>
        <sz val="10"/>
        <color indexed="43"/>
        <rFont val="Arial"/>
        <family val="2"/>
      </rPr>
      <t xml:space="preserve"> </t>
    </r>
    <r>
      <rPr>
        <sz val="10"/>
        <color indexed="43"/>
        <rFont val="Arial"/>
        <family val="2"/>
        <charset val="161"/>
      </rPr>
      <t xml:space="preserve">ως προς τις συγκεντρώσεις των ουσιών που συμμετέχουν στην αμφίδρομη α-ντίδραση και συμβολίζεται </t>
    </r>
    <r>
      <rPr>
        <b/>
        <sz val="10"/>
        <color indexed="52"/>
        <rFont val="Arial"/>
        <family val="2"/>
        <charset val="161"/>
      </rPr>
      <t>"Q</t>
    </r>
    <r>
      <rPr>
        <b/>
        <vertAlign val="subscript"/>
        <sz val="10"/>
        <color indexed="52"/>
        <rFont val="Arial"/>
        <family val="2"/>
        <charset val="161"/>
      </rPr>
      <t>C</t>
    </r>
    <r>
      <rPr>
        <b/>
        <sz val="10"/>
        <color indexed="52"/>
        <rFont val="Arial"/>
        <family val="2"/>
        <charset val="161"/>
      </rPr>
      <t>".</t>
    </r>
    <r>
      <rPr>
        <sz val="10"/>
        <color indexed="43"/>
        <rFont val="Arial"/>
        <family val="2"/>
      </rPr>
      <t xml:space="preserve"> </t>
    </r>
    <r>
      <rPr>
        <sz val="10"/>
        <color indexed="43"/>
        <rFont val="Arial"/>
        <family val="2"/>
        <charset val="161"/>
      </rPr>
      <t xml:space="preserve">Όπως φαίνεται το πηλίκο αυτό φέρει στον αριθμητή του το γινόμε-νο των συγκεντρώσεων των ουσιών, που εμφανίζονται στο δεξιό μέλος της αμφίδρομης αντίδρασης και κατά σύμβαση αποκαλούνται </t>
    </r>
    <r>
      <rPr>
        <b/>
        <sz val="10"/>
        <color indexed="52"/>
        <rFont val="Arial"/>
        <family val="2"/>
        <charset val="161"/>
      </rPr>
      <t>"προϊόντα",</t>
    </r>
    <r>
      <rPr>
        <sz val="10"/>
        <color indexed="43"/>
        <rFont val="Arial"/>
        <family val="2"/>
        <charset val="161"/>
      </rPr>
      <t xml:space="preserve"> με κάθε συγκέντρωση υψωμένη σε εκθέτη ίσο με το συντελεστή με τον οποίο φέρεται η ουσία στη χημική εξίσωση και παρονομαστή το αντίστοιχο γινό-μενο για τις ουσίες που βρίσκονται στο αριστερό μέλος της αμφίδρομης αντίδρασης και κατά σύμ-βαση αποκαλούνται </t>
    </r>
    <r>
      <rPr>
        <b/>
        <sz val="10"/>
        <color indexed="52"/>
        <rFont val="Arial"/>
        <family val="2"/>
        <charset val="161"/>
      </rPr>
      <t>"αντιδρώντα".</t>
    </r>
    <r>
      <rPr>
        <sz val="10"/>
        <color indexed="43"/>
        <rFont val="Arial"/>
        <family val="2"/>
        <charset val="161"/>
      </rPr>
      <t xml:space="preserve"> 
Στην τελευταία σχέση φαίνεται ακόμη ότι όταν το σύστημα βρίσκεται σε ΚΧΙ, το πηλίκο της αντίδρα-σης αποκτά μια συγκεκριμένη τιμή, η οποία ισούται με το λόγο των σταθερών ταχύτητας των αντι-δράσεων </t>
    </r>
    <r>
      <rPr>
        <b/>
        <sz val="10"/>
        <color indexed="52"/>
        <rFont val="Arial"/>
        <family val="2"/>
        <charset val="161"/>
      </rPr>
      <t>"1"</t>
    </r>
    <r>
      <rPr>
        <sz val="10"/>
        <color indexed="43"/>
        <rFont val="Arial"/>
        <family val="2"/>
        <charset val="161"/>
      </rPr>
      <t xml:space="preserve"> και </t>
    </r>
    <r>
      <rPr>
        <b/>
        <sz val="10"/>
        <color indexed="52"/>
        <rFont val="Arial"/>
        <family val="2"/>
        <charset val="161"/>
      </rPr>
      <t>"2".</t>
    </r>
    <r>
      <rPr>
        <sz val="10"/>
        <color indexed="43"/>
        <rFont val="Arial"/>
        <family val="2"/>
        <charset val="161"/>
      </rPr>
      <t xml:space="preserve">   </t>
    </r>
  </si>
  <si>
    <r>
      <t xml:space="preserve">Αυτή τη συγκεκριμένη τιμή που αποκτά το πηλίκο της αντίδρασης, όταν το σύστημα βρίσκεται σε ΚΧΙ και που δεν είναι τίποτε άλλο παρά ο λόγος των σταθερών </t>
    </r>
    <r>
      <rPr>
        <b/>
        <sz val="10"/>
        <color indexed="52"/>
        <rFont val="Arial"/>
        <family val="2"/>
        <charset val="161"/>
      </rPr>
      <t>k</t>
    </r>
    <r>
      <rPr>
        <b/>
        <vertAlign val="subscript"/>
        <sz val="10"/>
        <color indexed="52"/>
        <rFont val="Arial"/>
        <family val="2"/>
        <charset val="161"/>
      </rPr>
      <t>1</t>
    </r>
    <r>
      <rPr>
        <sz val="10"/>
        <color indexed="43"/>
        <rFont val="Arial"/>
        <family val="2"/>
        <charset val="161"/>
      </rPr>
      <t xml:space="preserve"> και</t>
    </r>
    <r>
      <rPr>
        <b/>
        <sz val="10"/>
        <color indexed="43"/>
        <rFont val="Arial"/>
        <family val="2"/>
      </rPr>
      <t xml:space="preserve"> </t>
    </r>
    <r>
      <rPr>
        <b/>
        <sz val="10"/>
        <color indexed="52"/>
        <rFont val="Arial"/>
        <family val="2"/>
        <charset val="161"/>
      </rPr>
      <t>k</t>
    </r>
    <r>
      <rPr>
        <b/>
        <vertAlign val="subscript"/>
        <sz val="10"/>
        <color indexed="52"/>
        <rFont val="Arial"/>
        <family val="2"/>
        <charset val="161"/>
      </rPr>
      <t>2</t>
    </r>
    <r>
      <rPr>
        <b/>
        <sz val="10"/>
        <color indexed="52"/>
        <rFont val="Arial"/>
        <family val="2"/>
        <charset val="161"/>
      </rPr>
      <t>,</t>
    </r>
    <r>
      <rPr>
        <b/>
        <sz val="10"/>
        <color indexed="43"/>
        <rFont val="Arial"/>
        <family val="2"/>
      </rPr>
      <t xml:space="preserve"> τ</t>
    </r>
    <r>
      <rPr>
        <sz val="10"/>
        <color indexed="43"/>
        <rFont val="Arial"/>
        <family val="2"/>
        <charset val="161"/>
      </rPr>
      <t xml:space="preserve">η συμβολίζουμε </t>
    </r>
    <r>
      <rPr>
        <b/>
        <sz val="10"/>
        <color indexed="53"/>
        <rFont val="Arial"/>
        <family val="2"/>
        <charset val="161"/>
      </rPr>
      <t>"K</t>
    </r>
    <r>
      <rPr>
        <b/>
        <vertAlign val="subscript"/>
        <sz val="10"/>
        <color indexed="53"/>
        <rFont val="Arial"/>
        <family val="2"/>
        <charset val="161"/>
      </rPr>
      <t>C</t>
    </r>
    <r>
      <rPr>
        <b/>
        <sz val="10"/>
        <color indexed="53"/>
        <rFont val="Arial"/>
        <family val="2"/>
        <charset val="161"/>
      </rPr>
      <t>"</t>
    </r>
    <r>
      <rPr>
        <b/>
        <sz val="10"/>
        <color indexed="43"/>
        <rFont val="Arial"/>
        <family val="2"/>
      </rPr>
      <t xml:space="preserve"> </t>
    </r>
    <r>
      <rPr>
        <sz val="10"/>
        <color indexed="43"/>
        <rFont val="Arial"/>
        <family val="2"/>
        <charset val="161"/>
      </rPr>
      <t xml:space="preserve">και την ονομάζουμε </t>
    </r>
    <r>
      <rPr>
        <b/>
        <sz val="10"/>
        <color indexed="53"/>
        <rFont val="Arial"/>
        <family val="2"/>
        <charset val="161"/>
      </rPr>
      <t>"σταθερά της χημικής ισορροπίας"</t>
    </r>
    <r>
      <rPr>
        <sz val="10"/>
        <color indexed="43"/>
        <rFont val="Arial"/>
        <family val="2"/>
        <charset val="161"/>
      </rPr>
      <t xml:space="preserve"> ως προς τις συγκεντρώσεις των ουσιών που συμμετέχουν στην αμφίδρομη αντίδραση. Άρα η τελευταία σχέση μπορεί να γραφεί...</t>
    </r>
  </si>
  <si>
    <r>
      <t xml:space="preserve">Η σταθερά </t>
    </r>
    <r>
      <rPr>
        <b/>
        <sz val="10"/>
        <color indexed="52"/>
        <rFont val="Arial"/>
        <family val="2"/>
        <charset val="161"/>
      </rPr>
      <t>K</t>
    </r>
    <r>
      <rPr>
        <b/>
        <vertAlign val="subscript"/>
        <sz val="10"/>
        <color indexed="52"/>
        <rFont val="Arial"/>
        <family val="2"/>
        <charset val="161"/>
      </rPr>
      <t>C</t>
    </r>
    <r>
      <rPr>
        <sz val="10"/>
        <color indexed="43"/>
        <rFont val="Arial"/>
        <family val="2"/>
        <charset val="161"/>
      </rPr>
      <t xml:space="preserve"> εξαρτάται μόνο από τη </t>
    </r>
    <r>
      <rPr>
        <b/>
        <sz val="10"/>
        <color indexed="52"/>
        <rFont val="Arial"/>
        <family val="2"/>
        <charset val="161"/>
      </rPr>
      <t>θερμοκρασία</t>
    </r>
    <r>
      <rPr>
        <sz val="10"/>
        <color indexed="43"/>
        <rFont val="Arial"/>
        <family val="2"/>
        <charset val="161"/>
      </rPr>
      <t xml:space="preserve"> που επικρατεί στο χώρο όπου αποκαθίσταται χημική ισορροπία.</t>
    </r>
  </si>
  <si>
    <r>
      <t>ΠΡΟΣΟΧΗ!</t>
    </r>
    <r>
      <rPr>
        <sz val="10"/>
        <color indexed="43"/>
        <rFont val="Arial"/>
        <family val="2"/>
        <charset val="161"/>
      </rPr>
      <t xml:space="preserve">  Η τελευταία ισότητα ισχύει υπό την προϋπόθεση και μόνο όταν το σύστημα βρίσκεται σε ΚΧΙ. Αυτό για να γίνει καλύτερα κατανοητό, ας θεωρήσουμε ότι σε ένα κενό δοχείο εισάγουμε μίγμα των αερίων Α και Β και ότι αυτά αντιδρούν σχηματίζοντας τα αέρια Γ και Δ, μέχρι να αποκα-τασταθεί ΚΧΙ. Ας θεωρήσουμε επιπλέον ότι η ΚΧΙ χαρακτηρίζεται από ορισμένη τιμή της σταθεράς </t>
    </r>
    <r>
      <rPr>
        <b/>
        <sz val="10"/>
        <color indexed="52"/>
        <rFont val="Arial"/>
        <family val="2"/>
        <charset val="161"/>
      </rPr>
      <t>K</t>
    </r>
    <r>
      <rPr>
        <b/>
        <vertAlign val="subscript"/>
        <sz val="10"/>
        <color indexed="52"/>
        <rFont val="Arial"/>
        <family val="2"/>
        <charset val="161"/>
      </rPr>
      <t>C</t>
    </r>
    <r>
      <rPr>
        <b/>
        <sz val="10"/>
        <color indexed="52"/>
        <rFont val="Arial"/>
        <family val="2"/>
        <charset val="161"/>
      </rPr>
      <t>,</t>
    </r>
    <r>
      <rPr>
        <sz val="10"/>
        <color indexed="43"/>
        <rFont val="Arial"/>
        <family val="2"/>
        <charset val="161"/>
      </rPr>
      <t xml:space="preserve"> π.χ. </t>
    </r>
    <r>
      <rPr>
        <b/>
        <sz val="10"/>
        <color indexed="52"/>
        <rFont val="Arial"/>
        <family val="2"/>
        <charset val="161"/>
      </rPr>
      <t>"4",</t>
    </r>
    <r>
      <rPr>
        <sz val="10"/>
        <color indexed="43"/>
        <rFont val="Arial"/>
        <family val="2"/>
        <charset val="161"/>
      </rPr>
      <t xml:space="preserve"> για τη θερμοκρασία που επικρατεί στο χώρο όπου γίνεται η αντίδραση.  </t>
    </r>
  </si>
  <si>
    <r>
      <t xml:space="preserve">Αν ο όγκος του χώρου όπου αποκαθίσταται η παραπά- νω ΧΙ είναι </t>
    </r>
    <r>
      <rPr>
        <b/>
        <sz val="10"/>
        <color indexed="52"/>
        <rFont val="Arial"/>
        <family val="2"/>
        <charset val="161"/>
      </rPr>
      <t>V=9L,</t>
    </r>
    <r>
      <rPr>
        <sz val="10"/>
        <color indexed="43"/>
        <rFont val="Arial"/>
        <family val="2"/>
      </rPr>
      <t xml:space="preserve"> τότε 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της ΧΙ σε </t>
    </r>
    <r>
      <rPr>
        <b/>
        <sz val="10"/>
        <color indexed="52"/>
        <rFont val="Arial"/>
        <family val="2"/>
        <charset val="161"/>
      </rPr>
      <t>θ°C,</t>
    </r>
    <r>
      <rPr>
        <sz val="10"/>
        <color indexed="43"/>
        <rFont val="Arial"/>
        <family val="2"/>
      </rPr>
      <t xml:space="preserve"> είναι...</t>
    </r>
    <r>
      <rPr>
        <b/>
        <sz val="10"/>
        <color indexed="52"/>
        <rFont val="Arial"/>
        <family val="2"/>
        <charset val="161"/>
      </rPr>
      <t>(να μη γραφούν μονάδες για την K</t>
    </r>
    <r>
      <rPr>
        <b/>
        <vertAlign val="subscript"/>
        <sz val="10"/>
        <color indexed="52"/>
        <rFont val="Arial"/>
        <family val="2"/>
        <charset val="161"/>
      </rPr>
      <t>C</t>
    </r>
    <r>
      <rPr>
        <b/>
        <sz val="10"/>
        <color indexed="52"/>
        <rFont val="Arial"/>
        <family val="2"/>
        <charset val="161"/>
      </rPr>
      <t>):</t>
    </r>
    <r>
      <rPr>
        <sz val="10"/>
        <color indexed="43"/>
        <rFont val="Arial"/>
        <family val="2"/>
      </rPr>
      <t xml:space="preserve"> </t>
    </r>
  </si>
  <si>
    <r>
      <t xml:space="preserve">Προφανώς κατά την εξέλιξη της αμφίδρομης αντίδρασης και μέχρι να αποκατασταθεί χημική ισορ-ροπία, η τιμή του </t>
    </r>
    <r>
      <rPr>
        <b/>
        <sz val="10"/>
        <color indexed="52"/>
        <rFont val="Arial"/>
        <family val="2"/>
        <charset val="161"/>
      </rPr>
      <t>Q</t>
    </r>
    <r>
      <rPr>
        <b/>
        <vertAlign val="subscript"/>
        <sz val="10"/>
        <color indexed="52"/>
        <rFont val="Arial"/>
        <family val="2"/>
        <charset val="161"/>
      </rPr>
      <t>C</t>
    </r>
    <r>
      <rPr>
        <sz val="10"/>
        <color indexed="43"/>
        <rFont val="Arial"/>
        <family val="2"/>
        <charset val="161"/>
      </rPr>
      <t xml:space="preserve"> διαρκώς αλλάζει. Στην αρχή, δηλαδή όταν στο δοχείο υπάρχουν μόνο τα αέρι-α Α και Β, είναι </t>
    </r>
    <r>
      <rPr>
        <b/>
        <sz val="10"/>
        <color indexed="52"/>
        <rFont val="Arial"/>
        <family val="2"/>
        <charset val="161"/>
      </rPr>
      <t>Q</t>
    </r>
    <r>
      <rPr>
        <b/>
        <vertAlign val="subscript"/>
        <sz val="10"/>
        <color indexed="52"/>
        <rFont val="Arial"/>
        <family val="2"/>
        <charset val="161"/>
      </rPr>
      <t>C</t>
    </r>
    <r>
      <rPr>
        <b/>
        <sz val="10"/>
        <color indexed="52"/>
        <rFont val="Arial"/>
        <family val="2"/>
        <charset val="161"/>
      </rPr>
      <t>=0.</t>
    </r>
    <r>
      <rPr>
        <sz val="10"/>
        <color indexed="43"/>
        <rFont val="Arial"/>
        <family val="2"/>
        <charset val="161"/>
      </rPr>
      <t xml:space="preserve"> Καθώς περνά ο χρόνος, οι συγκεντρώσεις των αερίων Α και Β μειώνονται ενώ των Γ και Δ αυξάνονται, οπότε και η τιμή του πηλίκου της αντίδρασης </t>
    </r>
    <r>
      <rPr>
        <b/>
        <sz val="10"/>
        <color indexed="52"/>
        <rFont val="Arial"/>
        <family val="2"/>
        <charset val="161"/>
      </rPr>
      <t>Q</t>
    </r>
    <r>
      <rPr>
        <b/>
        <vertAlign val="subscript"/>
        <sz val="10"/>
        <color indexed="52"/>
        <rFont val="Arial"/>
        <family val="2"/>
        <charset val="161"/>
      </rPr>
      <t>C</t>
    </r>
    <r>
      <rPr>
        <sz val="10"/>
        <color indexed="43"/>
        <rFont val="Arial"/>
        <family val="2"/>
        <charset val="161"/>
      </rPr>
      <t xml:space="preserve"> διαρκώς μεγαλώνει. Όταν γίνει </t>
    </r>
    <r>
      <rPr>
        <b/>
        <sz val="10"/>
        <color indexed="52"/>
        <rFont val="Arial"/>
        <family val="2"/>
        <charset val="161"/>
      </rPr>
      <t>Q</t>
    </r>
    <r>
      <rPr>
        <b/>
        <vertAlign val="subscript"/>
        <sz val="10"/>
        <color indexed="52"/>
        <rFont val="Arial"/>
        <family val="2"/>
        <charset val="161"/>
      </rPr>
      <t>C</t>
    </r>
    <r>
      <rPr>
        <b/>
        <sz val="10"/>
        <color indexed="52"/>
        <rFont val="Arial"/>
        <family val="2"/>
        <charset val="161"/>
      </rPr>
      <t>=4,</t>
    </r>
    <r>
      <rPr>
        <sz val="10"/>
        <color indexed="43"/>
        <rFont val="Arial"/>
        <family val="2"/>
        <charset val="161"/>
      </rPr>
      <t xml:space="preserve"> δηλαδή όταν γίνει </t>
    </r>
    <r>
      <rPr>
        <b/>
        <sz val="10"/>
        <color indexed="52"/>
        <rFont val="Arial"/>
        <family val="2"/>
        <charset val="161"/>
      </rPr>
      <t>Q</t>
    </r>
    <r>
      <rPr>
        <b/>
        <vertAlign val="subscript"/>
        <sz val="10"/>
        <color indexed="52"/>
        <rFont val="Arial"/>
        <family val="2"/>
        <charset val="161"/>
      </rPr>
      <t>C</t>
    </r>
    <r>
      <rPr>
        <b/>
        <sz val="10"/>
        <color indexed="52"/>
        <rFont val="Arial"/>
        <family val="2"/>
        <charset val="161"/>
      </rPr>
      <t>=K</t>
    </r>
    <r>
      <rPr>
        <b/>
        <vertAlign val="subscript"/>
        <sz val="10"/>
        <color indexed="52"/>
        <rFont val="Arial"/>
        <family val="2"/>
        <charset val="161"/>
      </rPr>
      <t>C</t>
    </r>
    <r>
      <rPr>
        <b/>
        <sz val="10"/>
        <color indexed="52"/>
        <rFont val="Arial"/>
        <family val="2"/>
        <charset val="161"/>
      </rPr>
      <t>,</t>
    </r>
    <r>
      <rPr>
        <sz val="10"/>
        <color indexed="43"/>
        <rFont val="Arial"/>
        <family val="2"/>
        <charset val="161"/>
      </rPr>
      <t xml:space="preserve"> τότε έχει αποκατασταθεί χημική ισορροπία. Κατά συνέπεια μόνο όταν έχουμε ΚΧΙ είναι </t>
    </r>
    <r>
      <rPr>
        <b/>
        <sz val="10"/>
        <color indexed="52"/>
        <rFont val="Arial"/>
        <family val="2"/>
        <charset val="161"/>
      </rPr>
      <t>Q</t>
    </r>
    <r>
      <rPr>
        <b/>
        <vertAlign val="subscript"/>
        <sz val="10"/>
        <color indexed="52"/>
        <rFont val="Arial"/>
        <family val="2"/>
        <charset val="161"/>
      </rPr>
      <t>C</t>
    </r>
    <r>
      <rPr>
        <b/>
        <sz val="10"/>
        <color indexed="52"/>
        <rFont val="Arial"/>
        <family val="2"/>
        <charset val="161"/>
      </rPr>
      <t>=K</t>
    </r>
    <r>
      <rPr>
        <b/>
        <vertAlign val="subscript"/>
        <sz val="10"/>
        <color indexed="52"/>
        <rFont val="Arial"/>
        <family val="2"/>
        <charset val="161"/>
      </rPr>
      <t>C</t>
    </r>
    <r>
      <rPr>
        <b/>
        <sz val="10"/>
        <color indexed="52"/>
        <rFont val="Arial"/>
        <family val="2"/>
        <charset val="161"/>
      </rPr>
      <t>,</t>
    </r>
    <r>
      <rPr>
        <sz val="10"/>
        <color indexed="43"/>
        <rFont val="Arial"/>
        <family val="2"/>
        <charset val="161"/>
      </rPr>
      <t xml:space="preserve"> αλλά και αντίστροφα, ή αλλιώς μπορούμε να πούμε ότι ισχύει η παρακάτω ισοδυναμία...</t>
    </r>
  </si>
  <si>
    <r>
      <t xml:space="preserve"> Αν δεν βρίσκεται το σύστημα σε ΚΧΙ, μπορεί να είναι ε'ιτε </t>
    </r>
    <r>
      <rPr>
        <b/>
        <sz val="10"/>
        <color indexed="52"/>
        <rFont val="Arial"/>
        <family val="2"/>
        <charset val="161"/>
      </rPr>
      <t>Q</t>
    </r>
    <r>
      <rPr>
        <b/>
        <vertAlign val="subscript"/>
        <sz val="10"/>
        <color indexed="52"/>
        <rFont val="Arial"/>
        <family val="2"/>
        <charset val="161"/>
      </rPr>
      <t>C</t>
    </r>
    <r>
      <rPr>
        <b/>
        <sz val="10"/>
        <color indexed="52"/>
        <rFont val="Arial"/>
        <family val="2"/>
        <charset val="161"/>
      </rPr>
      <t>&gt;K</t>
    </r>
    <r>
      <rPr>
        <b/>
        <vertAlign val="subscript"/>
        <sz val="10"/>
        <color indexed="52"/>
        <rFont val="Arial"/>
        <family val="2"/>
        <charset val="161"/>
      </rPr>
      <t>C</t>
    </r>
    <r>
      <rPr>
        <b/>
        <sz val="10"/>
        <color indexed="52"/>
        <rFont val="Arial"/>
        <family val="2"/>
        <charset val="161"/>
      </rPr>
      <t>,</t>
    </r>
    <r>
      <rPr>
        <sz val="10"/>
        <color indexed="43"/>
        <rFont val="Arial"/>
        <family val="2"/>
        <charset val="161"/>
      </rPr>
      <t xml:space="preserve"> είτε </t>
    </r>
    <r>
      <rPr>
        <b/>
        <sz val="10"/>
        <color indexed="52"/>
        <rFont val="Arial"/>
        <family val="2"/>
        <charset val="161"/>
      </rPr>
      <t>Q</t>
    </r>
    <r>
      <rPr>
        <b/>
        <vertAlign val="subscript"/>
        <sz val="10"/>
        <color indexed="52"/>
        <rFont val="Arial"/>
        <family val="2"/>
        <charset val="161"/>
      </rPr>
      <t>C</t>
    </r>
    <r>
      <rPr>
        <b/>
        <sz val="10"/>
        <color indexed="52"/>
        <rFont val="Arial"/>
        <family val="2"/>
        <charset val="161"/>
      </rPr>
      <t>&lt;K</t>
    </r>
    <r>
      <rPr>
        <b/>
        <vertAlign val="subscript"/>
        <sz val="10"/>
        <color indexed="52"/>
        <rFont val="Arial"/>
        <family val="2"/>
        <charset val="161"/>
      </rPr>
      <t>C</t>
    </r>
    <r>
      <rPr>
        <b/>
        <sz val="10"/>
        <color indexed="52"/>
        <rFont val="Arial"/>
        <family val="2"/>
        <charset val="161"/>
      </rPr>
      <t>.</t>
    </r>
  </si>
  <si>
    <t>Από την τελευταία ανισωτική σχέση προκύπτει…</t>
  </si>
  <si>
    <r>
      <t xml:space="preserve">Είναι φανερό ότι το σύστημα </t>
    </r>
    <r>
      <rPr>
        <b/>
        <sz val="10"/>
        <color indexed="10"/>
        <rFont val="Arial"/>
        <family val="2"/>
        <charset val="161"/>
      </rPr>
      <t>δε</t>
    </r>
    <r>
      <rPr>
        <sz val="10"/>
        <color indexed="43"/>
        <rFont val="Arial"/>
        <family val="2"/>
        <charset val="161"/>
      </rPr>
      <t xml:space="preserve"> βρίσκεται σε ΚΧΙ, αφού οι ταχύτητες των δυο αντιδράσεων που συν-θέτουν την αμφίδρομη αντίδραση δεν είναι ίσες μεταξύ τους και μάλιστα συμβαίνει να είναι… </t>
    </r>
    <r>
      <rPr>
        <b/>
        <sz val="10"/>
        <color indexed="52"/>
        <rFont val="Arial"/>
        <family val="2"/>
        <charset val="161"/>
      </rPr>
      <t>υ</t>
    </r>
    <r>
      <rPr>
        <b/>
        <vertAlign val="subscript"/>
        <sz val="10"/>
        <color indexed="52"/>
        <rFont val="Arial"/>
        <family val="2"/>
        <charset val="161"/>
      </rPr>
      <t>1</t>
    </r>
    <r>
      <rPr>
        <b/>
        <sz val="10"/>
        <color indexed="52"/>
        <rFont val="Arial"/>
        <family val="2"/>
        <charset val="161"/>
      </rPr>
      <t>&lt;υ</t>
    </r>
    <r>
      <rPr>
        <b/>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που σημαίνει πως τα </t>
    </r>
    <r>
      <rPr>
        <b/>
        <sz val="10"/>
        <color indexed="52"/>
        <rFont val="Arial"/>
        <family val="2"/>
        <charset val="161"/>
      </rPr>
      <t>"αντιδρώντα"</t>
    </r>
    <r>
      <rPr>
        <sz val="10"/>
        <color indexed="43"/>
        <rFont val="Arial"/>
        <family val="2"/>
        <charset val="161"/>
      </rPr>
      <t xml:space="preserve"> (αέρια Α και Β) σχηματίζονται γρηγορότερα απ' ότι καταναλώ-νονται ενώ τα </t>
    </r>
    <r>
      <rPr>
        <b/>
        <sz val="10"/>
        <color indexed="52"/>
        <rFont val="Arial"/>
        <family val="2"/>
        <charset val="161"/>
      </rPr>
      <t>"προϊόντα"</t>
    </r>
    <r>
      <rPr>
        <sz val="10"/>
        <color indexed="43"/>
        <rFont val="Arial"/>
        <family val="2"/>
        <charset val="161"/>
      </rPr>
      <t xml:space="preserve"> (αέρια Γ και Δ), καταναλώνονται γρηγορότερα απ' ότι σχηματίζονται. </t>
    </r>
  </si>
  <si>
    <r>
      <t>2</t>
    </r>
    <r>
      <rPr>
        <b/>
        <sz val="11"/>
        <color indexed="43"/>
        <rFont val="Arial"/>
        <family val="2"/>
        <charset val="161"/>
      </rPr>
      <t>O</t>
    </r>
    <r>
      <rPr>
        <b/>
        <vertAlign val="subscript"/>
        <sz val="11"/>
        <color indexed="43"/>
        <rFont val="Arial"/>
        <family val="2"/>
      </rPr>
      <t>2(g)</t>
    </r>
  </si>
  <si>
    <r>
      <t>2</t>
    </r>
    <r>
      <rPr>
        <b/>
        <sz val="11"/>
        <color indexed="43"/>
        <rFont val="Arial"/>
        <family val="2"/>
        <charset val="161"/>
      </rPr>
      <t>NO</t>
    </r>
    <r>
      <rPr>
        <b/>
        <vertAlign val="subscript"/>
        <sz val="11"/>
        <color indexed="43"/>
        <rFont val="Arial"/>
        <family val="2"/>
      </rPr>
      <t>2(g)</t>
    </r>
  </si>
  <si>
    <r>
      <t>3</t>
    </r>
    <r>
      <rPr>
        <b/>
        <sz val="11"/>
        <color indexed="43"/>
        <rFont val="Arial"/>
        <family val="2"/>
        <charset val="161"/>
      </rPr>
      <t>Η</t>
    </r>
    <r>
      <rPr>
        <b/>
        <vertAlign val="subscript"/>
        <sz val="11"/>
        <color indexed="43"/>
        <rFont val="Arial"/>
        <family val="2"/>
      </rPr>
      <t>2(g)</t>
    </r>
  </si>
  <si>
    <r>
      <t>2</t>
    </r>
    <r>
      <rPr>
        <b/>
        <sz val="11"/>
        <color indexed="43"/>
        <rFont val="Arial"/>
        <family val="2"/>
        <charset val="161"/>
      </rPr>
      <t>NΗ</t>
    </r>
    <r>
      <rPr>
        <b/>
        <vertAlign val="subscript"/>
        <sz val="11"/>
        <color indexed="43"/>
        <rFont val="Arial"/>
        <family val="2"/>
      </rPr>
      <t>3(g)</t>
    </r>
  </si>
  <si>
    <r>
      <t>2</t>
    </r>
    <r>
      <rPr>
        <b/>
        <sz val="11"/>
        <color indexed="43"/>
        <rFont val="Arial"/>
        <family val="2"/>
        <charset val="161"/>
      </rPr>
      <t>CO</t>
    </r>
    <r>
      <rPr>
        <b/>
        <vertAlign val="subscript"/>
        <sz val="11"/>
        <color indexed="43"/>
        <rFont val="Arial"/>
        <family val="2"/>
      </rPr>
      <t>(g)</t>
    </r>
  </si>
  <si>
    <r>
      <t>2</t>
    </r>
    <r>
      <rPr>
        <b/>
        <sz val="11"/>
        <color indexed="43"/>
        <rFont val="Arial"/>
        <family val="2"/>
        <charset val="161"/>
      </rPr>
      <t>CO</t>
    </r>
    <r>
      <rPr>
        <b/>
        <vertAlign val="subscript"/>
        <sz val="11"/>
        <color indexed="43"/>
        <rFont val="Arial"/>
        <family val="2"/>
      </rPr>
      <t>2(g)</t>
    </r>
  </si>
  <si>
    <r>
      <t xml:space="preserve">Στην </t>
    </r>
    <r>
      <rPr>
        <b/>
        <sz val="10"/>
        <color indexed="52"/>
        <rFont val="Arial"/>
        <family val="2"/>
        <charset val="161"/>
      </rPr>
      <t>ΚΧΙ</t>
    </r>
    <r>
      <rPr>
        <sz val="10"/>
        <color indexed="43"/>
        <rFont val="Arial"/>
        <family val="2"/>
        <charset val="161"/>
      </rPr>
      <t xml:space="preserve"> δίνεται ότι στο χώρο όπου αποκαταστάθηκε η</t>
    </r>
    <r>
      <rPr>
        <sz val="10"/>
        <color indexed="43"/>
        <rFont val="Arial"/>
        <family val="2"/>
      </rPr>
      <t xml:space="preserve"> ΧΙ,</t>
    </r>
    <r>
      <rPr>
        <b/>
        <sz val="10"/>
        <color indexed="43"/>
        <rFont val="Arial"/>
        <family val="2"/>
      </rPr>
      <t xml:space="preserve"> </t>
    </r>
    <r>
      <rPr>
        <sz val="10"/>
        <color indexed="43"/>
        <rFont val="Arial"/>
        <family val="2"/>
        <charset val="161"/>
      </rPr>
      <t xml:space="preserve">συνολι- κά υπάρχουν </t>
    </r>
    <r>
      <rPr>
        <b/>
        <sz val="10"/>
        <color indexed="52"/>
        <rFont val="Arial"/>
        <family val="2"/>
        <charset val="161"/>
      </rPr>
      <t>7mol</t>
    </r>
    <r>
      <rPr>
        <sz val="10"/>
        <color indexed="43"/>
        <rFont val="Arial"/>
        <family val="2"/>
        <charset val="161"/>
      </rPr>
      <t xml:space="preserve"> αερίων. </t>
    </r>
  </si>
  <si>
    <r>
      <t xml:space="preserve">Όπως φαίνεται, το αέριο μίγμα που εισάγεται αρχικά στο χώρο   της αντίδρασης, είναι </t>
    </r>
    <r>
      <rPr>
        <b/>
        <sz val="10"/>
        <color indexed="52"/>
        <rFont val="Arial"/>
        <family val="2"/>
        <charset val="161"/>
      </rPr>
      <t>ισομοριακό</t>
    </r>
    <r>
      <rPr>
        <sz val="10"/>
        <color indexed="43"/>
        <rFont val="Arial"/>
        <family val="2"/>
        <charset val="161"/>
      </rPr>
      <t xml:space="preserve"> ως προς τα συστατικά του.</t>
    </r>
  </si>
  <si>
    <r>
      <t xml:space="preserve">Δίνεται ότι το αέριο μίγμα που έχει σχηματιστεί τελικά στην </t>
    </r>
    <r>
      <rPr>
        <b/>
        <sz val="10"/>
        <color indexed="52"/>
        <rFont val="Arial"/>
        <family val="2"/>
        <charset val="161"/>
      </rPr>
      <t>ΚΧΙ,</t>
    </r>
    <r>
      <rPr>
        <sz val="10"/>
        <color indexed="43"/>
        <rFont val="Arial"/>
        <family val="2"/>
        <charset val="161"/>
      </rPr>
      <t xml:space="preserve"> εί- ναι </t>
    </r>
    <r>
      <rPr>
        <b/>
        <sz val="10"/>
        <color indexed="52"/>
        <rFont val="Arial"/>
        <family val="2"/>
        <charset val="161"/>
      </rPr>
      <t>ισομοριακό</t>
    </r>
    <r>
      <rPr>
        <sz val="10"/>
        <color indexed="43"/>
        <rFont val="Arial"/>
        <family val="2"/>
        <charset val="161"/>
      </rPr>
      <t xml:space="preserve"> ως προς το </t>
    </r>
    <r>
      <rPr>
        <b/>
        <sz val="10"/>
        <color indexed="52"/>
        <rFont val="Arial"/>
        <family val="2"/>
        <charset val="161"/>
      </rPr>
      <t>Ο</t>
    </r>
    <r>
      <rPr>
        <b/>
        <vertAlign val="subscript"/>
        <sz val="10"/>
        <color indexed="52"/>
        <rFont val="Arial"/>
        <family val="2"/>
        <charset val="161"/>
      </rPr>
      <t>2</t>
    </r>
    <r>
      <rPr>
        <sz val="10"/>
        <color indexed="43"/>
        <rFont val="Arial"/>
        <family val="2"/>
        <charset val="161"/>
      </rPr>
      <t xml:space="preserve"> και το </t>
    </r>
    <r>
      <rPr>
        <b/>
        <sz val="10"/>
        <color indexed="52"/>
        <rFont val="Arial"/>
        <family val="2"/>
        <charset val="161"/>
      </rPr>
      <t>CO</t>
    </r>
    <r>
      <rPr>
        <b/>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t>
    </r>
  </si>
  <si>
    <r>
      <t xml:space="preserve">Αν το αέριο μίγμα που έχει σχηματιστεί στην </t>
    </r>
    <r>
      <rPr>
        <b/>
        <sz val="10"/>
        <color indexed="52"/>
        <rFont val="Arial"/>
        <family val="2"/>
        <charset val="161"/>
      </rPr>
      <t>ΚΧΙ,</t>
    </r>
    <r>
      <rPr>
        <sz val="10"/>
        <color indexed="43"/>
        <rFont val="Arial"/>
        <family val="2"/>
      </rPr>
      <t xml:space="preserve"> α- σκεί στα τοιχώματα του χώρου όπου πραγματοποιήθη-κε η αντίδραση, πίεση </t>
    </r>
    <r>
      <rPr>
        <b/>
        <sz val="10"/>
        <color indexed="52"/>
        <rFont val="Arial"/>
        <family val="2"/>
        <charset val="161"/>
      </rPr>
      <t>P=4,1atm,</t>
    </r>
    <r>
      <rPr>
        <sz val="10"/>
        <color indexed="43"/>
        <rFont val="Arial"/>
        <family val="2"/>
      </rPr>
      <t xml:space="preserve"> τότε η τιμή της σταθε-ράς </t>
    </r>
    <r>
      <rPr>
        <b/>
        <sz val="10"/>
        <color indexed="52"/>
        <rFont val="Arial"/>
        <family val="2"/>
        <charset val="161"/>
      </rPr>
      <t>K</t>
    </r>
    <r>
      <rPr>
        <b/>
        <vertAlign val="subscript"/>
        <sz val="10"/>
        <color indexed="52"/>
        <rFont val="Arial"/>
        <family val="2"/>
        <charset val="161"/>
      </rPr>
      <t>C</t>
    </r>
    <r>
      <rPr>
        <vertAlign val="subscript"/>
        <sz val="10"/>
        <color indexed="43"/>
        <rFont val="Arial"/>
        <family val="2"/>
      </rPr>
      <t xml:space="preserve"> </t>
    </r>
    <r>
      <rPr>
        <sz val="10"/>
        <color indexed="43"/>
        <rFont val="Arial"/>
        <family val="2"/>
      </rPr>
      <t>για την παραπάνω ΧΙ, στους</t>
    </r>
    <r>
      <rPr>
        <b/>
        <sz val="10"/>
        <color indexed="43"/>
        <rFont val="Arial"/>
        <family val="2"/>
      </rPr>
      <t xml:space="preserve"> </t>
    </r>
    <r>
      <rPr>
        <b/>
        <sz val="10"/>
        <color indexed="52"/>
        <rFont val="Arial"/>
        <family val="2"/>
        <charset val="161"/>
      </rPr>
      <t>27°C,</t>
    </r>
    <r>
      <rPr>
        <b/>
        <sz val="10"/>
        <color indexed="43"/>
        <rFont val="Arial"/>
        <family val="2"/>
      </rPr>
      <t xml:space="preserve"> </t>
    </r>
    <r>
      <rPr>
        <sz val="10"/>
        <color indexed="43"/>
        <rFont val="Arial"/>
        <family val="2"/>
      </rPr>
      <t xml:space="preserve">ισούται με...    </t>
    </r>
    <r>
      <rPr>
        <b/>
        <sz val="10"/>
        <color indexed="52"/>
        <rFont val="Arial"/>
        <family val="2"/>
        <charset val="161"/>
      </rPr>
      <t>(να μη γραφούν μονάδες για την K</t>
    </r>
    <r>
      <rPr>
        <b/>
        <vertAlign val="subscript"/>
        <sz val="10"/>
        <color indexed="52"/>
        <rFont val="Arial"/>
        <family val="2"/>
        <charset val="161"/>
      </rPr>
      <t>C</t>
    </r>
    <r>
      <rPr>
        <b/>
        <sz val="10"/>
        <color indexed="52"/>
        <rFont val="Arial"/>
        <family val="2"/>
        <charset val="161"/>
      </rPr>
      <t>):</t>
    </r>
    <r>
      <rPr>
        <sz val="10"/>
        <color indexed="52"/>
        <rFont val="Arial"/>
        <family val="2"/>
        <charset val="161"/>
      </rPr>
      <t xml:space="preserve"> </t>
    </r>
  </si>
  <si>
    <r>
      <t>P</t>
    </r>
    <r>
      <rPr>
        <b/>
        <vertAlign val="subscript"/>
        <sz val="10"/>
        <color indexed="52"/>
        <rFont val="Arial"/>
        <family val="2"/>
      </rPr>
      <t>α</t>
    </r>
    <r>
      <rPr>
        <b/>
        <sz val="10"/>
        <color indexed="52"/>
        <rFont val="Arial"/>
        <family val="2"/>
      </rPr>
      <t>=12,30atm</t>
    </r>
  </si>
  <si>
    <r>
      <t>P</t>
    </r>
    <r>
      <rPr>
        <b/>
        <vertAlign val="subscript"/>
        <sz val="10"/>
        <color indexed="52"/>
        <rFont val="Arial"/>
        <family val="2"/>
      </rPr>
      <t>τ</t>
    </r>
    <r>
      <rPr>
        <b/>
        <sz val="10"/>
        <color indexed="52"/>
        <rFont val="Arial"/>
        <family val="2"/>
      </rPr>
      <t>=14,76atm</t>
    </r>
  </si>
  <si>
    <r>
      <t xml:space="preserve">Όπως φαίνεται από τον παραπάνω πίνακα, η ποσότητα του φωσγένιου που εισήχθη </t>
    </r>
    <r>
      <rPr>
        <b/>
        <sz val="10"/>
        <color indexed="52"/>
        <rFont val="Arial"/>
        <family val="2"/>
        <charset val="161"/>
      </rPr>
      <t>αρχικά</t>
    </r>
    <r>
      <rPr>
        <sz val="10"/>
        <color indexed="43"/>
        <rFont val="Arial"/>
        <family val="2"/>
        <charset val="161"/>
      </rPr>
      <t xml:space="preserve"> στο χώρο όπου έγινε η αντίδραση, ασκούσε πίεση ίση με </t>
    </r>
    <r>
      <rPr>
        <b/>
        <sz val="10"/>
        <color indexed="52"/>
        <rFont val="Arial"/>
        <family val="2"/>
        <charset val="161"/>
      </rPr>
      <t>P</t>
    </r>
    <r>
      <rPr>
        <b/>
        <vertAlign val="subscript"/>
        <sz val="10"/>
        <color indexed="52"/>
        <rFont val="Arial"/>
        <family val="2"/>
        <charset val="161"/>
      </rPr>
      <t>o</t>
    </r>
    <r>
      <rPr>
        <b/>
        <sz val="10"/>
        <color indexed="52"/>
        <rFont val="Arial"/>
        <family val="2"/>
        <charset val="161"/>
      </rPr>
      <t>=12,3atm,</t>
    </r>
    <r>
      <rPr>
        <sz val="10"/>
        <color indexed="43"/>
        <rFont val="Arial"/>
        <family val="2"/>
        <charset val="161"/>
      </rPr>
      <t xml:space="preserve"> ενώ μετά την αποκατάσταση </t>
    </r>
    <r>
      <rPr>
        <b/>
        <sz val="10"/>
        <color indexed="52"/>
        <rFont val="Arial"/>
        <family val="2"/>
        <charset val="161"/>
      </rPr>
      <t>ΧΙ,</t>
    </r>
    <r>
      <rPr>
        <sz val="10"/>
        <color indexed="43"/>
        <rFont val="Arial"/>
        <family val="2"/>
        <charset val="161"/>
      </rPr>
      <t xml:space="preserve"> η ασκούμενη στον ίδιο χώρο πίεση, από το αέριο μίγμα που έχει σχηματιστεί στην </t>
    </r>
    <r>
      <rPr>
        <b/>
        <sz val="10"/>
        <color indexed="52"/>
        <rFont val="Arial"/>
        <family val="2"/>
        <charset val="161"/>
      </rPr>
      <t>ΚΧΙ,</t>
    </r>
    <r>
      <rPr>
        <sz val="10"/>
        <color indexed="43"/>
        <rFont val="Arial"/>
        <family val="2"/>
        <charset val="161"/>
      </rPr>
      <t xml:space="preserve"> είναι </t>
    </r>
    <r>
      <rPr>
        <b/>
        <sz val="10"/>
        <color indexed="52"/>
        <rFont val="Arial"/>
        <family val="2"/>
        <charset val="161"/>
      </rPr>
      <t>P</t>
    </r>
    <r>
      <rPr>
        <b/>
        <vertAlign val="subscript"/>
        <sz val="10"/>
        <color indexed="52"/>
        <rFont val="Arial"/>
        <family val="2"/>
        <charset val="161"/>
      </rPr>
      <t>τ</t>
    </r>
    <r>
      <rPr>
        <b/>
        <sz val="10"/>
        <color indexed="52"/>
        <rFont val="Arial"/>
        <family val="2"/>
        <charset val="161"/>
      </rPr>
      <t>=14,76atm.</t>
    </r>
  </si>
  <si>
    <r>
      <t>2</t>
    </r>
    <r>
      <rPr>
        <b/>
        <sz val="11"/>
        <color indexed="43"/>
        <rFont val="Arial"/>
        <family val="2"/>
        <charset val="161"/>
      </rPr>
      <t>HI</t>
    </r>
    <r>
      <rPr>
        <b/>
        <vertAlign val="subscript"/>
        <sz val="11"/>
        <color indexed="43"/>
        <rFont val="Arial"/>
        <family val="2"/>
      </rPr>
      <t>(g)</t>
    </r>
  </si>
  <si>
    <r>
      <t xml:space="preserve">Όπως φαίνεται, το αέριο μίγμα που εισάγεται αρχικά στο χώρο της αντίδρασης, είναι </t>
    </r>
    <r>
      <rPr>
        <b/>
        <sz val="10"/>
        <color indexed="52"/>
        <rFont val="Arial"/>
        <family val="2"/>
        <charset val="161"/>
      </rPr>
      <t>ισομοριακό</t>
    </r>
    <r>
      <rPr>
        <sz val="10"/>
        <color indexed="43"/>
        <rFont val="Arial"/>
        <family val="2"/>
        <charset val="161"/>
      </rPr>
      <t xml:space="preserve"> ως προς τα συστατικά του.</t>
    </r>
  </si>
  <si>
    <r>
      <t xml:space="preserve">Η τιμή του συντελεστή απόδοσης </t>
    </r>
    <r>
      <rPr>
        <b/>
        <sz val="10"/>
        <color indexed="52"/>
        <rFont val="Arial"/>
        <family val="2"/>
        <charset val="161"/>
      </rPr>
      <t>a,</t>
    </r>
    <r>
      <rPr>
        <sz val="10"/>
        <color indexed="52"/>
        <rFont val="Arial"/>
        <family val="2"/>
        <charset val="161"/>
      </rPr>
      <t xml:space="preserve"> </t>
    </r>
    <r>
      <rPr>
        <sz val="10"/>
        <color indexed="43"/>
        <rFont val="Arial"/>
        <family val="2"/>
      </rPr>
      <t xml:space="preserve">για την παραπάνω </t>
    </r>
    <r>
      <rPr>
        <b/>
        <sz val="10"/>
        <color indexed="52"/>
        <rFont val="Arial"/>
        <family val="2"/>
        <charset val="161"/>
      </rPr>
      <t>ΧΙ,</t>
    </r>
    <r>
      <rPr>
        <sz val="10"/>
        <color indexed="43"/>
        <rFont val="Arial"/>
        <family val="2"/>
      </rPr>
      <t xml:space="preserve"> στους </t>
    </r>
    <r>
      <rPr>
        <b/>
        <sz val="10"/>
        <color indexed="52"/>
        <rFont val="Arial"/>
        <family val="2"/>
        <charset val="161"/>
      </rPr>
      <t>θ°C,</t>
    </r>
    <r>
      <rPr>
        <sz val="10"/>
        <color indexed="43"/>
        <rFont val="Arial"/>
        <family val="2"/>
      </rPr>
      <t xml:space="preserve"> είναι:</t>
    </r>
  </si>
  <si>
    <r>
      <t xml:space="preserve">Δίνεται ότι για την παραπάνω </t>
    </r>
    <r>
      <rPr>
        <b/>
        <sz val="10"/>
        <color indexed="52"/>
        <rFont val="Arial"/>
        <family val="2"/>
        <charset val="161"/>
      </rPr>
      <t>ΧΙ,</t>
    </r>
    <r>
      <rPr>
        <sz val="10"/>
        <color indexed="43"/>
        <rFont val="Arial"/>
        <family val="2"/>
        <charset val="161"/>
      </rPr>
      <t xml:space="preserve"> στους </t>
    </r>
    <r>
      <rPr>
        <b/>
        <sz val="10"/>
        <color indexed="52"/>
        <rFont val="Arial"/>
        <family val="2"/>
        <charset val="161"/>
      </rPr>
      <t>θ°C,</t>
    </r>
    <r>
      <rPr>
        <sz val="10"/>
        <color indexed="43"/>
        <rFont val="Arial"/>
        <family val="2"/>
        <charset val="161"/>
      </rPr>
      <t xml:space="preserve"> είναι </t>
    </r>
    <r>
      <rPr>
        <b/>
        <sz val="10"/>
        <color indexed="52"/>
        <rFont val="Arial"/>
        <family val="2"/>
        <charset val="161"/>
      </rPr>
      <t>K</t>
    </r>
    <r>
      <rPr>
        <b/>
        <vertAlign val="subscript"/>
        <sz val="10"/>
        <color indexed="52"/>
        <rFont val="Arial"/>
        <family val="2"/>
        <charset val="161"/>
      </rPr>
      <t>C</t>
    </r>
    <r>
      <rPr>
        <b/>
        <sz val="10"/>
        <color indexed="52"/>
        <rFont val="Arial"/>
        <family val="2"/>
        <charset val="161"/>
      </rPr>
      <t>=9.</t>
    </r>
  </si>
  <si>
    <r>
      <t>2</t>
    </r>
    <r>
      <rPr>
        <b/>
        <sz val="11"/>
        <color indexed="43"/>
        <rFont val="Arial"/>
        <family val="2"/>
        <charset val="161"/>
      </rPr>
      <t>SO</t>
    </r>
    <r>
      <rPr>
        <b/>
        <vertAlign val="subscript"/>
        <sz val="11"/>
        <color indexed="43"/>
        <rFont val="Arial"/>
        <family val="2"/>
      </rPr>
      <t>3(g)</t>
    </r>
  </si>
  <si>
    <r>
      <t>2</t>
    </r>
    <r>
      <rPr>
        <b/>
        <sz val="11"/>
        <color indexed="43"/>
        <rFont val="Arial"/>
        <family val="2"/>
        <charset val="161"/>
      </rPr>
      <t>SO</t>
    </r>
    <r>
      <rPr>
        <b/>
        <vertAlign val="subscript"/>
        <sz val="11"/>
        <color indexed="43"/>
        <rFont val="Arial"/>
        <family val="2"/>
      </rPr>
      <t>2(g)</t>
    </r>
  </si>
  <si>
    <r>
      <t xml:space="preserve">Δίνεται ότι στην </t>
    </r>
    <r>
      <rPr>
        <b/>
        <sz val="10"/>
        <color indexed="52"/>
        <rFont val="Arial"/>
        <family val="2"/>
        <charset val="161"/>
      </rPr>
      <t>ΚΧΙ,</t>
    </r>
    <r>
      <rPr>
        <sz val="10"/>
        <color indexed="43"/>
        <rFont val="Arial"/>
        <family val="2"/>
        <charset val="161"/>
      </rPr>
      <t xml:space="preserve"> το </t>
    </r>
    <r>
      <rPr>
        <b/>
        <sz val="10"/>
        <color indexed="52"/>
        <rFont val="Arial"/>
        <family val="2"/>
        <charset val="161"/>
      </rPr>
      <t>SO</t>
    </r>
    <r>
      <rPr>
        <b/>
        <vertAlign val="subscript"/>
        <sz val="10"/>
        <color indexed="52"/>
        <rFont val="Arial"/>
        <family val="2"/>
        <charset val="161"/>
      </rPr>
      <t>3</t>
    </r>
    <r>
      <rPr>
        <sz val="10"/>
        <color indexed="43"/>
        <rFont val="Arial"/>
        <family val="2"/>
        <charset val="161"/>
      </rPr>
      <t xml:space="preserve"> βρίσκεται να έχει υποστεί διάσπαση σε ποσοστό </t>
    </r>
    <r>
      <rPr>
        <b/>
        <sz val="10"/>
        <color indexed="52"/>
        <rFont val="Arial"/>
        <family val="2"/>
        <charset val="161"/>
      </rPr>
      <t>30%</t>
    </r>
    <r>
      <rPr>
        <sz val="10"/>
        <color indexed="43"/>
        <rFont val="Arial"/>
        <family val="2"/>
        <charset val="161"/>
      </rPr>
      <t xml:space="preserve"> και ότι ο όγκος του χώρου πραγματοποίησης της αντίδρασης είναι </t>
    </r>
    <r>
      <rPr>
        <b/>
        <sz val="10"/>
        <color indexed="52"/>
        <rFont val="Arial"/>
        <family val="2"/>
        <charset val="161"/>
      </rPr>
      <t>2,7L.</t>
    </r>
  </si>
  <si>
    <r>
      <t>CaCO</t>
    </r>
    <r>
      <rPr>
        <b/>
        <vertAlign val="subscript"/>
        <sz val="11"/>
        <color indexed="43"/>
        <rFont val="Arial"/>
        <family val="2"/>
      </rPr>
      <t>3(s)</t>
    </r>
  </si>
  <si>
    <r>
      <t>CaO</t>
    </r>
    <r>
      <rPr>
        <b/>
        <vertAlign val="subscript"/>
        <sz val="11"/>
        <color indexed="43"/>
        <rFont val="Arial"/>
        <family val="2"/>
      </rPr>
      <t>(s)</t>
    </r>
  </si>
  <si>
    <r>
      <t>CO</t>
    </r>
    <r>
      <rPr>
        <b/>
        <vertAlign val="subscript"/>
        <sz val="11"/>
        <color indexed="43"/>
        <rFont val="Arial"/>
        <family val="2"/>
      </rPr>
      <t>2(g)</t>
    </r>
  </si>
  <si>
    <r>
      <t>N</t>
    </r>
    <r>
      <rPr>
        <b/>
        <vertAlign val="subscript"/>
        <sz val="11"/>
        <color indexed="43"/>
        <rFont val="Arial"/>
        <family val="2"/>
      </rPr>
      <t>2</t>
    </r>
    <r>
      <rPr>
        <b/>
        <sz val="11"/>
        <color indexed="43"/>
        <rFont val="Arial"/>
        <family val="2"/>
        <charset val="161"/>
      </rPr>
      <t>O</t>
    </r>
    <r>
      <rPr>
        <b/>
        <vertAlign val="subscript"/>
        <sz val="11"/>
        <color indexed="43"/>
        <rFont val="Arial"/>
        <family val="2"/>
      </rPr>
      <t>4(g)</t>
    </r>
  </si>
  <si>
    <r>
      <t xml:space="preserve">      t</t>
    </r>
    <r>
      <rPr>
        <vertAlign val="subscript"/>
        <sz val="10"/>
        <color indexed="43"/>
        <rFont val="Arial"/>
        <family val="2"/>
      </rPr>
      <t>1</t>
    </r>
  </si>
  <si>
    <r>
      <t xml:space="preserve">        t</t>
    </r>
    <r>
      <rPr>
        <vertAlign val="subscript"/>
        <sz val="10"/>
        <color indexed="43"/>
        <rFont val="Arial"/>
        <family val="2"/>
      </rPr>
      <t>2</t>
    </r>
  </si>
  <si>
    <r>
      <t>t</t>
    </r>
    <r>
      <rPr>
        <vertAlign val="subscript"/>
        <sz val="10"/>
        <color indexed="43"/>
        <rFont val="Arial"/>
        <family val="2"/>
      </rPr>
      <t>3</t>
    </r>
  </si>
  <si>
    <r>
      <t>Q</t>
    </r>
    <r>
      <rPr>
        <b/>
        <vertAlign val="subscript"/>
        <sz val="10"/>
        <color indexed="43"/>
        <rFont val="Arial"/>
        <family val="2"/>
      </rPr>
      <t>C</t>
    </r>
    <r>
      <rPr>
        <b/>
        <sz val="10"/>
        <color indexed="43"/>
        <rFont val="Arial"/>
        <family val="2"/>
      </rPr>
      <t>&lt;K</t>
    </r>
    <r>
      <rPr>
        <b/>
        <vertAlign val="subscript"/>
        <sz val="10"/>
        <color indexed="43"/>
        <rFont val="Arial"/>
        <family val="2"/>
      </rPr>
      <t>C</t>
    </r>
  </si>
  <si>
    <r>
      <t>Q</t>
    </r>
    <r>
      <rPr>
        <b/>
        <vertAlign val="subscript"/>
        <sz val="10"/>
        <color indexed="43"/>
        <rFont val="Arial"/>
        <family val="2"/>
      </rPr>
      <t>C</t>
    </r>
    <r>
      <rPr>
        <b/>
        <sz val="10"/>
        <color indexed="43"/>
        <rFont val="Arial"/>
        <family val="2"/>
      </rPr>
      <t>=K</t>
    </r>
    <r>
      <rPr>
        <b/>
        <vertAlign val="subscript"/>
        <sz val="10"/>
        <color indexed="43"/>
        <rFont val="Arial"/>
        <family val="2"/>
      </rPr>
      <t>C</t>
    </r>
  </si>
  <si>
    <r>
      <t>Q</t>
    </r>
    <r>
      <rPr>
        <b/>
        <vertAlign val="subscript"/>
        <sz val="10"/>
        <color indexed="43"/>
        <rFont val="Arial"/>
        <family val="2"/>
      </rPr>
      <t>C</t>
    </r>
    <r>
      <rPr>
        <b/>
        <sz val="10"/>
        <color indexed="43"/>
        <rFont val="Arial"/>
        <family val="2"/>
      </rPr>
      <t>&gt;K</t>
    </r>
    <r>
      <rPr>
        <b/>
        <vertAlign val="subscript"/>
        <sz val="10"/>
        <color indexed="43"/>
        <rFont val="Arial"/>
        <family val="2"/>
      </rPr>
      <t>C</t>
    </r>
  </si>
  <si>
    <r>
      <t>n&lt;2n</t>
    </r>
    <r>
      <rPr>
        <vertAlign val="subscript"/>
        <sz val="10"/>
        <color indexed="43"/>
        <rFont val="Arial"/>
        <family val="2"/>
      </rPr>
      <t>3</t>
    </r>
  </si>
  <si>
    <r>
      <t>n=2n</t>
    </r>
    <r>
      <rPr>
        <vertAlign val="subscript"/>
        <sz val="10"/>
        <color indexed="43"/>
        <rFont val="Arial"/>
        <family val="2"/>
      </rPr>
      <t>3</t>
    </r>
  </si>
  <si>
    <r>
      <t>n&gt;2n</t>
    </r>
    <r>
      <rPr>
        <vertAlign val="subscript"/>
        <sz val="10"/>
        <color indexed="43"/>
        <rFont val="Arial"/>
        <family val="2"/>
      </rPr>
      <t>3</t>
    </r>
  </si>
  <si>
    <r>
      <t>n&lt;2n</t>
    </r>
    <r>
      <rPr>
        <b/>
        <vertAlign val="subscript"/>
        <sz val="10"/>
        <color indexed="43"/>
        <rFont val="Arial"/>
        <family val="2"/>
      </rPr>
      <t>2</t>
    </r>
  </si>
  <si>
    <r>
      <t>n=2n</t>
    </r>
    <r>
      <rPr>
        <b/>
        <vertAlign val="subscript"/>
        <sz val="10"/>
        <color indexed="43"/>
        <rFont val="Arial"/>
        <family val="2"/>
      </rPr>
      <t>2</t>
    </r>
  </si>
  <si>
    <r>
      <t>n&gt;2n</t>
    </r>
    <r>
      <rPr>
        <b/>
        <vertAlign val="subscript"/>
        <sz val="10"/>
        <color indexed="43"/>
        <rFont val="Arial"/>
        <family val="2"/>
      </rPr>
      <t>2</t>
    </r>
  </si>
  <si>
    <r>
      <t>H</t>
    </r>
    <r>
      <rPr>
        <b/>
        <vertAlign val="subscript"/>
        <sz val="11"/>
        <color indexed="43"/>
        <rFont val="Arial"/>
        <family val="2"/>
      </rPr>
      <t>2</t>
    </r>
    <r>
      <rPr>
        <b/>
        <sz val="11"/>
        <color indexed="43"/>
        <rFont val="Arial"/>
        <family val="2"/>
      </rPr>
      <t>O</t>
    </r>
    <r>
      <rPr>
        <b/>
        <vertAlign val="subscript"/>
        <sz val="11"/>
        <color indexed="43"/>
        <rFont val="Arial"/>
        <family val="2"/>
      </rPr>
      <t>(g)</t>
    </r>
  </si>
  <si>
    <r>
      <t>PCl</t>
    </r>
    <r>
      <rPr>
        <b/>
        <vertAlign val="subscript"/>
        <sz val="11"/>
        <color indexed="43"/>
        <rFont val="Arial"/>
        <family val="2"/>
      </rPr>
      <t>5(g)</t>
    </r>
  </si>
  <si>
    <r>
      <t>PCl</t>
    </r>
    <r>
      <rPr>
        <b/>
        <vertAlign val="subscript"/>
        <sz val="11"/>
        <color indexed="43"/>
        <rFont val="Arial"/>
        <family val="2"/>
      </rPr>
      <t>3(g)</t>
    </r>
  </si>
  <si>
    <r>
      <t>CO</t>
    </r>
    <r>
      <rPr>
        <b/>
        <vertAlign val="subscript"/>
        <sz val="10"/>
        <color indexed="43"/>
        <rFont val="Arial"/>
        <family val="2"/>
      </rPr>
      <t>2(g)</t>
    </r>
  </si>
  <si>
    <r>
      <t>CO</t>
    </r>
    <r>
      <rPr>
        <b/>
        <vertAlign val="subscript"/>
        <sz val="10"/>
        <color indexed="43"/>
        <rFont val="Arial"/>
        <family val="2"/>
      </rPr>
      <t>(g)</t>
    </r>
  </si>
  <si>
    <r>
      <t>C</t>
    </r>
    <r>
      <rPr>
        <b/>
        <vertAlign val="subscript"/>
        <sz val="11"/>
        <color indexed="43"/>
        <rFont val="Arial"/>
        <family val="2"/>
      </rPr>
      <t>(s)</t>
    </r>
  </si>
  <si>
    <r>
      <t>CaCO</t>
    </r>
    <r>
      <rPr>
        <b/>
        <vertAlign val="subscript"/>
        <sz val="10"/>
        <color indexed="43"/>
        <rFont val="Arial"/>
        <family val="2"/>
      </rPr>
      <t>3(s)</t>
    </r>
  </si>
  <si>
    <r>
      <t>CaO</t>
    </r>
    <r>
      <rPr>
        <b/>
        <vertAlign val="subscript"/>
        <sz val="10"/>
        <color indexed="43"/>
        <rFont val="Arial"/>
        <family val="2"/>
      </rPr>
      <t>(s)</t>
    </r>
  </si>
  <si>
    <r>
      <t>C</t>
    </r>
    <r>
      <rPr>
        <b/>
        <vertAlign val="subscript"/>
        <sz val="10"/>
        <color indexed="43"/>
        <rFont val="Arial"/>
        <family val="2"/>
      </rPr>
      <t>(s)</t>
    </r>
  </si>
  <si>
    <r>
      <t>3</t>
    </r>
    <r>
      <rPr>
        <b/>
        <sz val="11"/>
        <color indexed="43"/>
        <rFont val="Arial"/>
        <family val="2"/>
        <charset val="161"/>
      </rPr>
      <t>H</t>
    </r>
    <r>
      <rPr>
        <b/>
        <vertAlign val="subscript"/>
        <sz val="11"/>
        <color indexed="43"/>
        <rFont val="Arial"/>
        <family val="2"/>
      </rPr>
      <t>2(g)</t>
    </r>
  </si>
  <si>
    <r>
      <t>2</t>
    </r>
    <r>
      <rPr>
        <b/>
        <sz val="11"/>
        <color indexed="43"/>
        <rFont val="Arial"/>
        <family val="2"/>
        <charset val="161"/>
      </rPr>
      <t>NH</t>
    </r>
    <r>
      <rPr>
        <b/>
        <vertAlign val="subscript"/>
        <sz val="11"/>
        <color indexed="43"/>
        <rFont val="Arial"/>
        <family val="2"/>
      </rPr>
      <t>3(g)</t>
    </r>
  </si>
  <si>
    <r>
      <t xml:space="preserve">Τα προβλήματα που ακολουθούν αναφέρονται στη σταθερά ΧΙ, </t>
    </r>
    <r>
      <rPr>
        <b/>
        <sz val="10"/>
        <color indexed="52"/>
        <rFont val="Arial"/>
        <family val="2"/>
        <charset val="161"/>
      </rPr>
      <t>K</t>
    </r>
    <r>
      <rPr>
        <b/>
        <vertAlign val="subscript"/>
        <sz val="10"/>
        <color indexed="52"/>
        <rFont val="Arial"/>
        <family val="2"/>
        <charset val="161"/>
      </rPr>
      <t>P</t>
    </r>
    <r>
      <rPr>
        <b/>
        <sz val="10"/>
        <color indexed="52"/>
        <rFont val="Arial"/>
        <family val="2"/>
        <charset val="161"/>
      </rPr>
      <t>.</t>
    </r>
  </si>
  <si>
    <r>
      <t xml:space="preserve">Η τιμή της σταθεράς </t>
    </r>
    <r>
      <rPr>
        <b/>
        <sz val="10"/>
        <color indexed="52"/>
        <rFont val="Arial"/>
        <family val="2"/>
        <charset val="161"/>
      </rPr>
      <t>K</t>
    </r>
    <r>
      <rPr>
        <b/>
        <vertAlign val="subscript"/>
        <sz val="10"/>
        <color indexed="52"/>
        <rFont val="Arial"/>
        <family val="2"/>
        <charset val="161"/>
      </rPr>
      <t>P</t>
    </r>
    <r>
      <rPr>
        <sz val="10"/>
        <color indexed="43"/>
        <rFont val="Arial"/>
        <family val="2"/>
      </rPr>
      <t xml:space="preserve"> για την παραπάνω αντίδραση σε </t>
    </r>
    <r>
      <rPr>
        <b/>
        <sz val="10"/>
        <color indexed="52"/>
        <rFont val="Arial"/>
        <family val="2"/>
        <charset val="161"/>
      </rPr>
      <t>θ°C,</t>
    </r>
    <r>
      <rPr>
        <sz val="10"/>
        <color indexed="43"/>
        <rFont val="Arial"/>
        <family val="2"/>
      </rPr>
      <t xml:space="preserve"> είναι... </t>
    </r>
    <r>
      <rPr>
        <b/>
        <sz val="10"/>
        <color indexed="52"/>
        <rFont val="Arial"/>
        <family val="2"/>
        <charset val="161"/>
      </rPr>
      <t>(να γραφούν μονάδες για την K</t>
    </r>
    <r>
      <rPr>
        <b/>
        <vertAlign val="subscript"/>
        <sz val="10"/>
        <color indexed="52"/>
        <rFont val="Arial"/>
        <family val="2"/>
        <charset val="161"/>
      </rPr>
      <t>P</t>
    </r>
    <r>
      <rPr>
        <b/>
        <sz val="10"/>
        <color indexed="52"/>
        <rFont val="Arial"/>
        <family val="2"/>
        <charset val="161"/>
      </rPr>
      <t>):</t>
    </r>
  </si>
  <si>
    <r>
      <t xml:space="preserve">Εντός κλειστού δοχείου σταθερού όγκου, αποκαθίσταται σε </t>
    </r>
    <r>
      <rPr>
        <b/>
        <sz val="10"/>
        <color indexed="52"/>
        <rFont val="Arial"/>
        <family val="2"/>
        <charset val="161"/>
      </rPr>
      <t>θ°C</t>
    </r>
    <r>
      <rPr>
        <sz val="10"/>
        <color indexed="43"/>
        <rFont val="Arial"/>
        <family val="2"/>
        <charset val="161"/>
      </rPr>
      <t xml:space="preserve">    η παραπάνω ΧΙ, υπό πίεση </t>
    </r>
    <r>
      <rPr>
        <b/>
        <sz val="10"/>
        <color indexed="52"/>
        <rFont val="Arial"/>
        <family val="2"/>
        <charset val="161"/>
      </rPr>
      <t>P</t>
    </r>
    <r>
      <rPr>
        <b/>
        <vertAlign val="subscript"/>
        <sz val="10"/>
        <color indexed="52"/>
        <rFont val="Arial"/>
        <family val="2"/>
        <charset val="161"/>
      </rPr>
      <t>ολ.</t>
    </r>
    <r>
      <rPr>
        <b/>
        <sz val="10"/>
        <color indexed="52"/>
        <rFont val="Arial"/>
        <family val="2"/>
        <charset val="161"/>
      </rPr>
      <t>=3atm.</t>
    </r>
    <r>
      <rPr>
        <sz val="10"/>
        <color indexed="43"/>
        <rFont val="Arial"/>
        <family val="2"/>
        <charset val="161"/>
      </rPr>
      <t xml:space="preserve"> Αν στη θερμοκρασία που αναφέρθηκε, για τη σταθερά </t>
    </r>
    <r>
      <rPr>
        <b/>
        <sz val="10"/>
        <color indexed="52"/>
        <rFont val="Arial"/>
        <family val="2"/>
        <charset val="161"/>
      </rPr>
      <t>K</t>
    </r>
    <r>
      <rPr>
        <b/>
        <vertAlign val="subscript"/>
        <sz val="10"/>
        <color indexed="52"/>
        <rFont val="Arial"/>
        <family val="2"/>
        <charset val="161"/>
      </rPr>
      <t>P</t>
    </r>
    <r>
      <rPr>
        <sz val="10"/>
        <color indexed="43"/>
        <rFont val="Arial"/>
        <family val="2"/>
        <charset val="161"/>
      </rPr>
      <t xml:space="preserve"> της ισορροπίας αυτής, ισχύει η σχέση </t>
    </r>
    <r>
      <rPr>
        <b/>
        <sz val="10"/>
        <color indexed="52"/>
        <rFont val="Arial"/>
        <family val="2"/>
        <charset val="161"/>
      </rPr>
      <t>K</t>
    </r>
    <r>
      <rPr>
        <b/>
        <vertAlign val="subscript"/>
        <sz val="10"/>
        <color indexed="52"/>
        <rFont val="Arial"/>
        <family val="2"/>
        <charset val="161"/>
      </rPr>
      <t>P</t>
    </r>
    <r>
      <rPr>
        <b/>
        <sz val="10"/>
        <color indexed="52"/>
        <rFont val="Arial"/>
        <family val="2"/>
        <charset val="161"/>
      </rPr>
      <t>=0,5atm,</t>
    </r>
    <r>
      <rPr>
        <sz val="10"/>
        <color indexed="43"/>
        <rFont val="Arial"/>
        <family val="2"/>
        <charset val="161"/>
      </rPr>
      <t xml:space="preserve"> τότε</t>
    </r>
    <r>
      <rPr>
        <b/>
        <sz val="10"/>
        <color indexed="43"/>
        <rFont val="Arial"/>
        <family val="2"/>
      </rPr>
      <t>:</t>
    </r>
  </si>
  <si>
    <r>
      <t>CO</t>
    </r>
    <r>
      <rPr>
        <b/>
        <vertAlign val="subscript"/>
        <sz val="11"/>
        <color indexed="43"/>
        <rFont val="Arial"/>
        <family val="2"/>
        <charset val="161"/>
      </rPr>
      <t>(g)</t>
    </r>
  </si>
  <si>
    <r>
      <t>Cl</t>
    </r>
    <r>
      <rPr>
        <b/>
        <vertAlign val="subscript"/>
        <sz val="11"/>
        <color indexed="43"/>
        <rFont val="Arial"/>
        <family val="2"/>
        <charset val="161"/>
      </rPr>
      <t>2(g)</t>
    </r>
  </si>
  <si>
    <r>
      <t>P</t>
    </r>
    <r>
      <rPr>
        <b/>
        <vertAlign val="subscript"/>
        <sz val="10"/>
        <color indexed="52"/>
        <rFont val="Arial"/>
        <family val="2"/>
      </rPr>
      <t>α</t>
    </r>
    <r>
      <rPr>
        <b/>
        <sz val="10"/>
        <color indexed="52"/>
        <rFont val="Arial"/>
        <family val="2"/>
      </rPr>
      <t>=2,4atm</t>
    </r>
  </si>
  <si>
    <r>
      <t>P</t>
    </r>
    <r>
      <rPr>
        <b/>
        <vertAlign val="subscript"/>
        <sz val="10"/>
        <color indexed="52"/>
        <rFont val="Arial"/>
        <family val="2"/>
      </rPr>
      <t>τ</t>
    </r>
    <r>
      <rPr>
        <b/>
        <sz val="10"/>
        <color indexed="52"/>
        <rFont val="Arial"/>
        <family val="2"/>
      </rPr>
      <t>=2,8atm</t>
    </r>
  </si>
  <si>
    <r>
      <t xml:space="preserve">Μεταξύ </t>
    </r>
    <r>
      <rPr>
        <b/>
        <sz val="10"/>
        <color indexed="52"/>
        <rFont val="Arial"/>
        <family val="2"/>
        <charset val="161"/>
      </rPr>
      <t>n</t>
    </r>
    <r>
      <rPr>
        <sz val="10"/>
        <color indexed="43"/>
        <rFont val="Arial"/>
        <family val="2"/>
      </rPr>
      <t xml:space="preserve"> και </t>
    </r>
    <r>
      <rPr>
        <b/>
        <sz val="10"/>
        <color indexed="52"/>
        <rFont val="Arial"/>
        <family val="2"/>
        <charset val="161"/>
      </rPr>
      <t>x</t>
    </r>
    <r>
      <rPr>
        <sz val="10"/>
        <color indexed="43"/>
        <rFont val="Arial"/>
        <family val="2"/>
      </rPr>
      <t xml:space="preserve"> ισχύει η σχέση:</t>
    </r>
  </si>
  <si>
    <r>
      <t xml:space="preserve">Στην </t>
    </r>
    <r>
      <rPr>
        <b/>
        <sz val="10"/>
        <color indexed="52"/>
        <rFont val="Arial"/>
        <family val="2"/>
        <charset val="161"/>
      </rPr>
      <t>ΚΧΙ</t>
    </r>
    <r>
      <rPr>
        <sz val="10"/>
        <color indexed="43"/>
        <rFont val="Arial"/>
        <family val="2"/>
      </rPr>
      <t xml:space="preserve"> το μοριακό κλάσμα του </t>
    </r>
    <r>
      <rPr>
        <b/>
        <sz val="10"/>
        <color indexed="52"/>
        <rFont val="Arial"/>
        <family val="2"/>
        <charset val="161"/>
      </rPr>
      <t>CO</t>
    </r>
    <r>
      <rPr>
        <b/>
        <vertAlign val="subscript"/>
        <sz val="10"/>
        <color indexed="52"/>
        <rFont val="Arial"/>
        <family val="2"/>
        <charset val="161"/>
      </rPr>
      <t>(g)</t>
    </r>
    <r>
      <rPr>
        <sz val="10"/>
        <color indexed="43"/>
        <rFont val="Arial"/>
        <family val="2"/>
      </rPr>
      <t xml:space="preserve"> στο αέριο μίγμα που έχει σχηματιστεί, ισούται με:</t>
    </r>
  </si>
  <si>
    <r>
      <t xml:space="preserve">Το ποσοστό διάσπασης </t>
    </r>
    <r>
      <rPr>
        <b/>
        <sz val="10"/>
        <color indexed="52"/>
        <rFont val="Arial"/>
        <family val="2"/>
        <charset val="161"/>
      </rPr>
      <t>(με</t>
    </r>
    <r>
      <rPr>
        <sz val="10"/>
        <color indexed="52"/>
        <rFont val="Arial"/>
        <family val="2"/>
        <charset val="161"/>
      </rPr>
      <t xml:space="preserve"> </t>
    </r>
    <r>
      <rPr>
        <b/>
        <sz val="10"/>
        <color indexed="52"/>
        <rFont val="Arial"/>
        <family val="2"/>
        <charset val="161"/>
      </rPr>
      <t>2 δεκαδικά ψηφία),</t>
    </r>
    <r>
      <rPr>
        <sz val="10"/>
        <color indexed="43"/>
        <rFont val="Arial"/>
        <family val="2"/>
      </rPr>
      <t xml:space="preserve"> του </t>
    </r>
    <r>
      <rPr>
        <b/>
        <sz val="10"/>
        <color indexed="52"/>
        <rFont val="Arial"/>
        <family val="2"/>
        <charset val="161"/>
      </rPr>
      <t>COCl</t>
    </r>
    <r>
      <rPr>
        <b/>
        <vertAlign val="subscript"/>
        <sz val="10"/>
        <color indexed="52"/>
        <rFont val="Arial"/>
        <family val="2"/>
        <charset val="161"/>
      </rPr>
      <t>2(g)</t>
    </r>
    <r>
      <rPr>
        <b/>
        <sz val="10"/>
        <color indexed="52"/>
        <rFont val="Arial"/>
        <family val="2"/>
        <charset val="161"/>
      </rPr>
      <t>,</t>
    </r>
    <r>
      <rPr>
        <sz val="10"/>
        <color indexed="43"/>
        <rFont val="Arial"/>
        <family val="2"/>
      </rPr>
      <t xml:space="preserve"> μέχρι να αποκατασταθεί </t>
    </r>
    <r>
      <rPr>
        <b/>
        <sz val="10"/>
        <color indexed="52"/>
        <rFont val="Arial"/>
        <family val="2"/>
        <charset val="161"/>
      </rPr>
      <t>ΧΙ,</t>
    </r>
    <r>
      <rPr>
        <sz val="10"/>
        <color indexed="43"/>
        <rFont val="Arial"/>
        <family val="2"/>
      </rPr>
      <t xml:space="preserve"> είναι:</t>
    </r>
  </si>
  <si>
    <r>
      <t xml:space="preserve">Η τιμή της σταθεράς </t>
    </r>
    <r>
      <rPr>
        <b/>
        <sz val="10"/>
        <color indexed="52"/>
        <rFont val="Arial"/>
        <family val="2"/>
        <charset val="161"/>
      </rPr>
      <t>K</t>
    </r>
    <r>
      <rPr>
        <b/>
        <vertAlign val="subscript"/>
        <sz val="10"/>
        <color indexed="52"/>
        <rFont val="Arial"/>
        <family val="2"/>
        <charset val="161"/>
      </rPr>
      <t>P</t>
    </r>
    <r>
      <rPr>
        <sz val="10"/>
        <color indexed="43"/>
        <rFont val="Arial"/>
        <family val="2"/>
      </rPr>
      <t xml:space="preserve"> για την παραπάνω αντίδραση σε </t>
    </r>
    <r>
      <rPr>
        <b/>
        <sz val="10"/>
        <color indexed="52"/>
        <rFont val="Arial"/>
        <family val="2"/>
        <charset val="161"/>
      </rPr>
      <t>θ°C,</t>
    </r>
    <r>
      <rPr>
        <sz val="10"/>
        <color indexed="43"/>
        <rFont val="Arial"/>
        <family val="2"/>
      </rPr>
      <t xml:space="preserve"> είναι… </t>
    </r>
    <r>
      <rPr>
        <b/>
        <sz val="10"/>
        <color indexed="52"/>
        <rFont val="Arial"/>
        <family val="2"/>
        <charset val="161"/>
      </rPr>
      <t>(να γραφούν μονάδες για την K</t>
    </r>
    <r>
      <rPr>
        <b/>
        <vertAlign val="subscript"/>
        <sz val="10"/>
        <color indexed="52"/>
        <rFont val="Arial"/>
        <family val="2"/>
        <charset val="161"/>
      </rPr>
      <t>P</t>
    </r>
    <r>
      <rPr>
        <b/>
        <sz val="10"/>
        <color indexed="52"/>
        <rFont val="Arial"/>
        <family val="2"/>
        <charset val="161"/>
      </rPr>
      <t>):</t>
    </r>
  </si>
  <si>
    <r>
      <t>P</t>
    </r>
    <r>
      <rPr>
        <b/>
        <vertAlign val="subscript"/>
        <sz val="10"/>
        <color indexed="52"/>
        <rFont val="Arial"/>
        <family val="2"/>
      </rPr>
      <t>τ</t>
    </r>
    <r>
      <rPr>
        <b/>
        <sz val="10"/>
        <color indexed="52"/>
        <rFont val="Arial"/>
        <family val="2"/>
      </rPr>
      <t>=4,2atm</t>
    </r>
  </si>
  <si>
    <r>
      <t xml:space="preserve">Στην </t>
    </r>
    <r>
      <rPr>
        <b/>
        <sz val="10"/>
        <color indexed="52"/>
        <rFont val="Arial"/>
        <family val="2"/>
        <charset val="161"/>
      </rPr>
      <t>ΚΧΙ,</t>
    </r>
    <r>
      <rPr>
        <sz val="10"/>
        <color indexed="43"/>
        <rFont val="Arial"/>
        <family val="2"/>
      </rPr>
      <t xml:space="preserve"> ο </t>
    </r>
    <r>
      <rPr>
        <b/>
        <sz val="10"/>
        <color indexed="52"/>
        <rFont val="Arial"/>
        <family val="2"/>
        <charset val="161"/>
      </rPr>
      <t>βαθμός διάσπασης</t>
    </r>
    <r>
      <rPr>
        <sz val="10"/>
        <color indexed="43"/>
        <rFont val="Arial"/>
        <family val="2"/>
      </rPr>
      <t xml:space="preserve"> του </t>
    </r>
    <r>
      <rPr>
        <b/>
        <sz val="10"/>
        <color indexed="52"/>
        <rFont val="Arial"/>
        <family val="2"/>
        <charset val="161"/>
      </rPr>
      <t>PCl</t>
    </r>
    <r>
      <rPr>
        <b/>
        <vertAlign val="subscript"/>
        <sz val="10"/>
        <color indexed="52"/>
        <rFont val="Arial"/>
        <family val="2"/>
        <charset val="161"/>
      </rPr>
      <t>3(g)</t>
    </r>
    <r>
      <rPr>
        <b/>
        <sz val="10"/>
        <color indexed="52"/>
        <rFont val="Arial"/>
        <family val="2"/>
        <charset val="161"/>
      </rPr>
      <t>,</t>
    </r>
    <r>
      <rPr>
        <b/>
        <sz val="10"/>
        <color indexed="43"/>
        <rFont val="Arial"/>
        <family val="2"/>
      </rPr>
      <t xml:space="preserve"> </t>
    </r>
    <r>
      <rPr>
        <b/>
        <sz val="10"/>
        <color indexed="10"/>
        <rFont val="Arial"/>
        <family val="2"/>
        <charset val="161"/>
      </rPr>
      <t>a,</t>
    </r>
    <r>
      <rPr>
        <sz val="10"/>
        <color indexed="43"/>
        <rFont val="Arial"/>
        <family val="2"/>
      </rPr>
      <t xml:space="preserve"> θα ι- σούται με:</t>
    </r>
  </si>
  <si>
    <r>
      <t xml:space="preserve">Στην </t>
    </r>
    <r>
      <rPr>
        <b/>
        <sz val="10"/>
        <color indexed="52"/>
        <rFont val="Arial"/>
        <family val="2"/>
        <charset val="161"/>
      </rPr>
      <t>ΚΧΙ</t>
    </r>
    <r>
      <rPr>
        <sz val="10"/>
        <color indexed="43"/>
        <rFont val="Arial"/>
        <family val="2"/>
      </rPr>
      <t xml:space="preserve"> η μερική πίεση του </t>
    </r>
    <r>
      <rPr>
        <b/>
        <sz val="10"/>
        <color indexed="52"/>
        <rFont val="Arial"/>
        <family val="2"/>
        <charset val="161"/>
      </rPr>
      <t>COCl</t>
    </r>
    <r>
      <rPr>
        <b/>
        <vertAlign val="subscript"/>
        <sz val="10"/>
        <color indexed="52"/>
        <rFont val="Arial"/>
        <family val="2"/>
        <charset val="161"/>
      </rPr>
      <t>2(g)</t>
    </r>
    <r>
      <rPr>
        <b/>
        <sz val="10"/>
        <color indexed="52"/>
        <rFont val="Arial"/>
        <family val="2"/>
        <charset val="161"/>
      </rPr>
      <t>,</t>
    </r>
    <r>
      <rPr>
        <sz val="10"/>
        <color indexed="43"/>
        <rFont val="Arial"/>
        <family val="2"/>
      </rPr>
      <t xml:space="preserve"> </t>
    </r>
    <r>
      <rPr>
        <b/>
        <sz val="10"/>
        <color indexed="10"/>
        <rFont val="Arial"/>
        <family val="2"/>
        <charset val="161"/>
      </rPr>
      <t>P</t>
    </r>
    <r>
      <rPr>
        <b/>
        <vertAlign val="subscript"/>
        <sz val="10"/>
        <color indexed="10"/>
        <rFont val="Arial"/>
        <family val="2"/>
        <charset val="161"/>
      </rPr>
      <t>1</t>
    </r>
    <r>
      <rPr>
        <b/>
        <sz val="10"/>
        <color indexed="10"/>
        <rFont val="Arial"/>
        <family val="2"/>
        <charset val="161"/>
      </rPr>
      <t>,</t>
    </r>
    <r>
      <rPr>
        <b/>
        <sz val="10"/>
        <color indexed="43"/>
        <rFont val="Arial"/>
        <family val="2"/>
      </rPr>
      <t xml:space="preserve"> </t>
    </r>
    <r>
      <rPr>
        <sz val="10"/>
        <color indexed="43"/>
        <rFont val="Arial"/>
        <family val="2"/>
      </rPr>
      <t>θα ισούται με:</t>
    </r>
  </si>
  <si>
    <r>
      <t xml:space="preserve">Στην </t>
    </r>
    <r>
      <rPr>
        <b/>
        <sz val="10"/>
        <color indexed="52"/>
        <rFont val="Arial"/>
        <family val="2"/>
        <charset val="161"/>
      </rPr>
      <t>ΚΧΙ,</t>
    </r>
    <r>
      <rPr>
        <sz val="10"/>
        <color indexed="43"/>
        <rFont val="Arial"/>
        <family val="2"/>
      </rPr>
      <t xml:space="preserve"> η μερική πίεση του </t>
    </r>
    <r>
      <rPr>
        <b/>
        <sz val="10"/>
        <color indexed="52"/>
        <rFont val="Arial"/>
        <family val="2"/>
        <charset val="161"/>
      </rPr>
      <t>Cl</t>
    </r>
    <r>
      <rPr>
        <b/>
        <vertAlign val="subscript"/>
        <sz val="10"/>
        <color indexed="52"/>
        <rFont val="Arial"/>
        <family val="2"/>
        <charset val="161"/>
      </rPr>
      <t>2(g)</t>
    </r>
    <r>
      <rPr>
        <b/>
        <sz val="10"/>
        <color indexed="52"/>
        <rFont val="Arial"/>
        <family val="2"/>
        <charset val="161"/>
      </rPr>
      <t>,</t>
    </r>
    <r>
      <rPr>
        <sz val="10"/>
        <color indexed="43"/>
        <rFont val="Arial"/>
        <family val="2"/>
      </rPr>
      <t xml:space="preserve"> </t>
    </r>
    <r>
      <rPr>
        <b/>
        <sz val="10"/>
        <color indexed="10"/>
        <rFont val="Arial"/>
        <family val="2"/>
        <charset val="161"/>
      </rPr>
      <t>P</t>
    </r>
    <r>
      <rPr>
        <b/>
        <vertAlign val="subscript"/>
        <sz val="10"/>
        <color indexed="10"/>
        <rFont val="Arial"/>
        <family val="2"/>
        <charset val="161"/>
      </rPr>
      <t>3</t>
    </r>
    <r>
      <rPr>
        <b/>
        <sz val="10"/>
        <color indexed="10"/>
        <rFont val="Arial"/>
        <family val="2"/>
        <charset val="161"/>
      </rPr>
      <t>,</t>
    </r>
    <r>
      <rPr>
        <sz val="10"/>
        <color indexed="43"/>
        <rFont val="Arial"/>
        <family val="2"/>
      </rPr>
      <t xml:space="preserve"> θα ισούται με:</t>
    </r>
  </si>
  <si>
    <r>
      <t xml:space="preserve">Στην </t>
    </r>
    <r>
      <rPr>
        <b/>
        <sz val="10"/>
        <color indexed="52"/>
        <rFont val="Arial"/>
        <family val="2"/>
        <charset val="161"/>
      </rPr>
      <t>ΚΧΙ,</t>
    </r>
    <r>
      <rPr>
        <sz val="10"/>
        <color indexed="43"/>
        <rFont val="Arial"/>
        <family val="2"/>
      </rPr>
      <t xml:space="preserve"> η μερική πίεση του </t>
    </r>
    <r>
      <rPr>
        <b/>
        <sz val="10"/>
        <color indexed="52"/>
        <rFont val="Arial"/>
        <family val="2"/>
        <charset val="161"/>
      </rPr>
      <t>NO</t>
    </r>
    <r>
      <rPr>
        <b/>
        <vertAlign val="subscript"/>
        <sz val="10"/>
        <color indexed="52"/>
        <rFont val="Arial"/>
        <family val="2"/>
        <charset val="161"/>
      </rPr>
      <t>2(g)</t>
    </r>
    <r>
      <rPr>
        <b/>
        <sz val="10"/>
        <color indexed="52"/>
        <rFont val="Arial"/>
        <family val="2"/>
        <charset val="161"/>
      </rPr>
      <t>,</t>
    </r>
    <r>
      <rPr>
        <sz val="10"/>
        <color indexed="43"/>
        <rFont val="Arial"/>
        <family val="2"/>
      </rPr>
      <t xml:space="preserve"> </t>
    </r>
    <r>
      <rPr>
        <b/>
        <sz val="10"/>
        <color indexed="10"/>
        <rFont val="Arial"/>
        <family val="2"/>
        <charset val="161"/>
      </rPr>
      <t>P</t>
    </r>
    <r>
      <rPr>
        <b/>
        <vertAlign val="subscript"/>
        <sz val="10"/>
        <color indexed="10"/>
        <rFont val="Arial"/>
        <family val="2"/>
        <charset val="161"/>
      </rPr>
      <t>2</t>
    </r>
    <r>
      <rPr>
        <b/>
        <sz val="10"/>
        <color indexed="10"/>
        <rFont val="Arial"/>
        <family val="2"/>
        <charset val="161"/>
      </rPr>
      <t>,</t>
    </r>
    <r>
      <rPr>
        <sz val="10"/>
        <color indexed="43"/>
        <rFont val="Arial"/>
        <family val="2"/>
      </rPr>
      <t xml:space="preserve"> θα ισούται με:</t>
    </r>
  </si>
  <si>
    <r>
      <t xml:space="preserve">Στην </t>
    </r>
    <r>
      <rPr>
        <b/>
        <sz val="10"/>
        <color indexed="52"/>
        <rFont val="Arial"/>
        <family val="2"/>
        <charset val="161"/>
      </rPr>
      <t>ΚΧΙ,</t>
    </r>
    <r>
      <rPr>
        <sz val="10"/>
        <color indexed="43"/>
        <rFont val="Arial"/>
        <family val="2"/>
      </rPr>
      <t xml:space="preserve"> η μερική πίεση του </t>
    </r>
    <r>
      <rPr>
        <b/>
        <sz val="10"/>
        <color indexed="52"/>
        <rFont val="Arial"/>
        <family val="2"/>
        <charset val="161"/>
      </rPr>
      <t>Ν</t>
    </r>
    <r>
      <rPr>
        <b/>
        <vertAlign val="subscript"/>
        <sz val="10"/>
        <color indexed="52"/>
        <rFont val="Arial"/>
        <family val="2"/>
        <charset val="161"/>
      </rPr>
      <t>2</t>
    </r>
    <r>
      <rPr>
        <b/>
        <sz val="10"/>
        <color indexed="52"/>
        <rFont val="Arial"/>
        <family val="2"/>
        <charset val="161"/>
      </rPr>
      <t>Ο</t>
    </r>
    <r>
      <rPr>
        <b/>
        <vertAlign val="subscript"/>
        <sz val="10"/>
        <color indexed="52"/>
        <rFont val="Arial"/>
        <family val="2"/>
        <charset val="161"/>
      </rPr>
      <t>4(g)</t>
    </r>
    <r>
      <rPr>
        <b/>
        <sz val="10"/>
        <color indexed="52"/>
        <rFont val="Arial"/>
        <family val="2"/>
        <charset val="161"/>
      </rPr>
      <t>,</t>
    </r>
    <r>
      <rPr>
        <sz val="10"/>
        <color indexed="43"/>
        <rFont val="Arial"/>
        <family val="2"/>
      </rPr>
      <t xml:space="preserve"> </t>
    </r>
    <r>
      <rPr>
        <b/>
        <sz val="10"/>
        <color indexed="10"/>
        <rFont val="Arial"/>
        <family val="2"/>
        <charset val="161"/>
      </rPr>
      <t>P</t>
    </r>
    <r>
      <rPr>
        <b/>
        <vertAlign val="subscript"/>
        <sz val="10"/>
        <color indexed="10"/>
        <rFont val="Arial"/>
        <family val="2"/>
        <charset val="161"/>
      </rPr>
      <t>1</t>
    </r>
    <r>
      <rPr>
        <b/>
        <sz val="10"/>
        <color indexed="10"/>
        <rFont val="Arial"/>
        <family val="2"/>
        <charset val="161"/>
      </rPr>
      <t>,</t>
    </r>
    <r>
      <rPr>
        <sz val="10"/>
        <color indexed="43"/>
        <rFont val="Arial"/>
        <family val="2"/>
      </rPr>
      <t xml:space="preserve"> θα ισούται με:</t>
    </r>
  </si>
  <si>
    <r>
      <t xml:space="preserve">Στην </t>
    </r>
    <r>
      <rPr>
        <b/>
        <sz val="10"/>
        <color indexed="52"/>
        <rFont val="Arial"/>
        <family val="2"/>
        <charset val="161"/>
      </rPr>
      <t>ΚΧΙ,</t>
    </r>
    <r>
      <rPr>
        <sz val="10"/>
        <color indexed="43"/>
        <rFont val="Arial"/>
        <family val="2"/>
      </rPr>
      <t xml:space="preserve"> η μερική πίεση του </t>
    </r>
    <r>
      <rPr>
        <b/>
        <sz val="10"/>
        <color indexed="52"/>
        <rFont val="Arial"/>
        <family val="2"/>
        <charset val="161"/>
      </rPr>
      <t>Η</t>
    </r>
    <r>
      <rPr>
        <b/>
        <vertAlign val="subscript"/>
        <sz val="10"/>
        <color indexed="52"/>
        <rFont val="Arial"/>
        <family val="2"/>
        <charset val="161"/>
      </rPr>
      <t>2(g)</t>
    </r>
    <r>
      <rPr>
        <b/>
        <sz val="10"/>
        <color indexed="52"/>
        <rFont val="Arial"/>
        <family val="2"/>
        <charset val="161"/>
      </rPr>
      <t>,</t>
    </r>
    <r>
      <rPr>
        <sz val="10"/>
        <color indexed="43"/>
        <rFont val="Arial"/>
        <family val="2"/>
      </rPr>
      <t xml:space="preserve"> </t>
    </r>
    <r>
      <rPr>
        <b/>
        <sz val="10"/>
        <color indexed="10"/>
        <rFont val="Arial"/>
        <family val="2"/>
        <charset val="161"/>
      </rPr>
      <t>P</t>
    </r>
    <r>
      <rPr>
        <b/>
        <vertAlign val="subscript"/>
        <sz val="10"/>
        <color indexed="10"/>
        <rFont val="Arial"/>
        <family val="2"/>
        <charset val="161"/>
      </rPr>
      <t>2</t>
    </r>
    <r>
      <rPr>
        <b/>
        <sz val="10"/>
        <color indexed="10"/>
        <rFont val="Arial"/>
        <family val="2"/>
        <charset val="161"/>
      </rPr>
      <t>,</t>
    </r>
    <r>
      <rPr>
        <sz val="10"/>
        <color indexed="43"/>
        <rFont val="Arial"/>
        <family val="2"/>
      </rPr>
      <t xml:space="preserve"> θα ισούται με:</t>
    </r>
  </si>
  <si>
    <r>
      <t xml:space="preserve">Στην </t>
    </r>
    <r>
      <rPr>
        <b/>
        <sz val="10"/>
        <color indexed="52"/>
        <rFont val="Arial"/>
        <family val="2"/>
        <charset val="161"/>
      </rPr>
      <t>ΚΧΙ,</t>
    </r>
    <r>
      <rPr>
        <sz val="10"/>
        <color indexed="43"/>
        <rFont val="Arial"/>
        <family val="2"/>
      </rPr>
      <t xml:space="preserve"> η μερική πίεση της </t>
    </r>
    <r>
      <rPr>
        <b/>
        <sz val="10"/>
        <color indexed="52"/>
        <rFont val="Arial"/>
        <family val="2"/>
        <charset val="161"/>
      </rPr>
      <t>ΝΗ</t>
    </r>
    <r>
      <rPr>
        <b/>
        <vertAlign val="subscript"/>
        <sz val="10"/>
        <color indexed="52"/>
        <rFont val="Arial"/>
        <family val="2"/>
        <charset val="161"/>
      </rPr>
      <t>3(g)</t>
    </r>
    <r>
      <rPr>
        <b/>
        <sz val="10"/>
        <color indexed="52"/>
        <rFont val="Arial"/>
        <family val="2"/>
        <charset val="161"/>
      </rPr>
      <t>,</t>
    </r>
    <r>
      <rPr>
        <sz val="10"/>
        <color indexed="43"/>
        <rFont val="Arial"/>
        <family val="2"/>
      </rPr>
      <t xml:space="preserve"> </t>
    </r>
    <r>
      <rPr>
        <b/>
        <sz val="10"/>
        <color indexed="10"/>
        <rFont val="Arial"/>
        <family val="2"/>
        <charset val="161"/>
      </rPr>
      <t>P</t>
    </r>
    <r>
      <rPr>
        <b/>
        <vertAlign val="subscript"/>
        <sz val="10"/>
        <color indexed="10"/>
        <rFont val="Arial"/>
        <family val="2"/>
        <charset val="161"/>
      </rPr>
      <t>3</t>
    </r>
    <r>
      <rPr>
        <b/>
        <sz val="10"/>
        <color indexed="10"/>
        <rFont val="Arial"/>
        <family val="2"/>
        <charset val="161"/>
      </rPr>
      <t>,</t>
    </r>
    <r>
      <rPr>
        <sz val="10"/>
        <color indexed="43"/>
        <rFont val="Arial"/>
        <family val="2"/>
      </rPr>
      <t xml:space="preserve"> θα ισούται με:</t>
    </r>
  </si>
  <si>
    <r>
      <t>P</t>
    </r>
    <r>
      <rPr>
        <b/>
        <vertAlign val="subscript"/>
        <sz val="10"/>
        <color indexed="52"/>
        <rFont val="Arial"/>
        <family val="2"/>
        <charset val="161"/>
      </rPr>
      <t>τ</t>
    </r>
    <r>
      <rPr>
        <b/>
        <sz val="10"/>
        <color indexed="52"/>
        <rFont val="Arial"/>
        <family val="2"/>
        <charset val="161"/>
      </rPr>
      <t>=5atm</t>
    </r>
  </si>
  <si>
    <r>
      <t xml:space="preserve">Δίνεται ότι για την παραπάνω XI, που αποκαθίσταται μέσα σε κλει- στό δοχείο </t>
    </r>
    <r>
      <rPr>
        <b/>
        <sz val="10"/>
        <color indexed="52"/>
        <rFont val="Arial"/>
        <family val="2"/>
        <charset val="161"/>
      </rPr>
      <t>μεταβλητού όγκου,</t>
    </r>
    <r>
      <rPr>
        <sz val="10"/>
        <color indexed="43"/>
        <rFont val="Arial"/>
        <family val="2"/>
      </rPr>
      <t xml:space="preserve"> στους </t>
    </r>
    <r>
      <rPr>
        <b/>
        <sz val="10"/>
        <color indexed="52"/>
        <rFont val="Arial"/>
        <family val="2"/>
        <charset val="161"/>
      </rPr>
      <t>θ°C,</t>
    </r>
    <r>
      <rPr>
        <sz val="10"/>
        <color indexed="43"/>
        <rFont val="Arial"/>
        <family val="2"/>
      </rPr>
      <t xml:space="preserve"> είναι </t>
    </r>
    <r>
      <rPr>
        <b/>
        <sz val="10"/>
        <color indexed="52"/>
        <rFont val="Arial"/>
        <family val="2"/>
        <charset val="161"/>
      </rPr>
      <t>K</t>
    </r>
    <r>
      <rPr>
        <b/>
        <vertAlign val="subscript"/>
        <sz val="10"/>
        <color indexed="52"/>
        <rFont val="Arial"/>
        <family val="2"/>
        <charset val="161"/>
      </rPr>
      <t>P</t>
    </r>
    <r>
      <rPr>
        <b/>
        <sz val="10"/>
        <color indexed="52"/>
        <rFont val="Arial"/>
        <family val="2"/>
        <charset val="161"/>
      </rPr>
      <t>=4.</t>
    </r>
    <r>
      <rPr>
        <b/>
        <sz val="10"/>
        <color indexed="43"/>
        <rFont val="Arial"/>
        <family val="2"/>
      </rPr>
      <t xml:space="preserve"> </t>
    </r>
  </si>
  <si>
    <r>
      <t xml:space="preserve">Στην </t>
    </r>
    <r>
      <rPr>
        <b/>
        <sz val="10"/>
        <color indexed="52"/>
        <rFont val="Arial"/>
        <family val="2"/>
        <charset val="161"/>
      </rPr>
      <t>ΚΧΙ,</t>
    </r>
    <r>
      <rPr>
        <sz val="10"/>
        <color indexed="43"/>
        <rFont val="Arial"/>
        <family val="2"/>
      </rPr>
      <t xml:space="preserve"> ο </t>
    </r>
    <r>
      <rPr>
        <b/>
        <sz val="10"/>
        <color indexed="52"/>
        <rFont val="Arial"/>
        <family val="2"/>
        <charset val="161"/>
      </rPr>
      <t>βαθμός διάσπασης</t>
    </r>
    <r>
      <rPr>
        <sz val="10"/>
        <color indexed="43"/>
        <rFont val="Arial"/>
        <family val="2"/>
      </rPr>
      <t xml:space="preserve"> του </t>
    </r>
    <r>
      <rPr>
        <b/>
        <sz val="10"/>
        <color indexed="52"/>
        <rFont val="Arial"/>
        <family val="2"/>
        <charset val="161"/>
      </rPr>
      <t>HI</t>
    </r>
    <r>
      <rPr>
        <b/>
        <vertAlign val="subscript"/>
        <sz val="10"/>
        <color indexed="52"/>
        <rFont val="Arial"/>
        <family val="2"/>
        <charset val="161"/>
      </rPr>
      <t>(g)</t>
    </r>
    <r>
      <rPr>
        <b/>
        <sz val="10"/>
        <color indexed="52"/>
        <rFont val="Arial"/>
        <family val="2"/>
        <charset val="161"/>
      </rPr>
      <t>,</t>
    </r>
    <r>
      <rPr>
        <b/>
        <sz val="10"/>
        <color indexed="43"/>
        <rFont val="Arial"/>
        <family val="2"/>
      </rPr>
      <t xml:space="preserve"> </t>
    </r>
    <r>
      <rPr>
        <b/>
        <sz val="10"/>
        <color indexed="10"/>
        <rFont val="Arial"/>
        <family val="2"/>
        <charset val="161"/>
      </rPr>
      <t>a,</t>
    </r>
    <r>
      <rPr>
        <sz val="10"/>
        <color indexed="43"/>
        <rFont val="Arial"/>
        <family val="2"/>
      </rPr>
      <t xml:space="preserve"> θα ισού- ται με:</t>
    </r>
  </si>
  <si>
    <r>
      <t xml:space="preserve">Διατηρώντας τη </t>
    </r>
    <r>
      <rPr>
        <b/>
        <sz val="10"/>
        <color indexed="52"/>
        <rFont val="Arial"/>
        <family val="2"/>
        <charset val="161"/>
      </rPr>
      <t>θερμοκρασία σταθερή,</t>
    </r>
    <r>
      <rPr>
        <sz val="10"/>
        <color indexed="52"/>
        <rFont val="Arial"/>
        <family val="2"/>
        <charset val="161"/>
      </rPr>
      <t xml:space="preserve"> </t>
    </r>
    <r>
      <rPr>
        <b/>
        <sz val="10"/>
        <color indexed="52"/>
        <rFont val="Arial"/>
        <family val="2"/>
        <charset val="161"/>
      </rPr>
      <t>μειώνουμε</t>
    </r>
    <r>
      <rPr>
        <sz val="10"/>
        <color indexed="43"/>
        <rFont val="Arial"/>
        <family val="2"/>
      </rPr>
      <t xml:space="preserve"> τον </t>
    </r>
    <r>
      <rPr>
        <b/>
        <sz val="10"/>
        <color indexed="52"/>
        <rFont val="Arial"/>
        <family val="2"/>
        <charset val="161"/>
      </rPr>
      <t>όγκο</t>
    </r>
    <r>
      <rPr>
        <sz val="10"/>
        <color indexed="43"/>
        <rFont val="Arial"/>
        <family val="2"/>
      </rPr>
      <t xml:space="preserve"> του δοχείου στο </t>
    </r>
    <r>
      <rPr>
        <b/>
        <sz val="10"/>
        <color indexed="52"/>
        <rFont val="Arial"/>
        <family val="2"/>
        <charset val="161"/>
      </rPr>
      <t>μισό</t>
    </r>
    <r>
      <rPr>
        <sz val="10"/>
        <color indexed="43"/>
        <rFont val="Arial"/>
        <family val="2"/>
      </rPr>
      <t xml:space="preserve"> της αρχικής του τιμής.</t>
    </r>
  </si>
  <si>
    <r>
      <t xml:space="preserve">Τώρα που ο όγκος ελαττώθηκε στο μισό της αρχικής του τιμής, ο </t>
    </r>
    <r>
      <rPr>
        <b/>
        <sz val="10"/>
        <color indexed="52"/>
        <rFont val="Arial"/>
        <family val="2"/>
        <charset val="161"/>
      </rPr>
      <t>βαθμός διάσπασης</t>
    </r>
    <r>
      <rPr>
        <sz val="10"/>
        <color indexed="43"/>
        <rFont val="Arial"/>
        <family val="2"/>
      </rPr>
      <t xml:space="preserve"> του </t>
    </r>
    <r>
      <rPr>
        <b/>
        <sz val="10"/>
        <color indexed="52"/>
        <rFont val="Arial"/>
        <family val="2"/>
        <charset val="161"/>
      </rPr>
      <t>HI</t>
    </r>
    <r>
      <rPr>
        <b/>
        <vertAlign val="subscript"/>
        <sz val="10"/>
        <color indexed="52"/>
        <rFont val="Arial"/>
        <family val="2"/>
        <charset val="161"/>
      </rPr>
      <t>(g)</t>
    </r>
    <r>
      <rPr>
        <sz val="10"/>
        <color indexed="43"/>
        <rFont val="Arial"/>
        <family val="2"/>
      </rPr>
      <t xml:space="preserve"> θα …</t>
    </r>
  </si>
  <si>
    <r>
      <t xml:space="preserve">Τώρα που ο όγκος ελαττώθηκε στο μισό της αρχικής του τιμής, η </t>
    </r>
    <r>
      <rPr>
        <b/>
        <sz val="10"/>
        <color indexed="52"/>
        <rFont val="Arial"/>
        <family val="2"/>
        <charset val="161"/>
      </rPr>
      <t>μερική πίεση</t>
    </r>
    <r>
      <rPr>
        <sz val="10"/>
        <color indexed="43"/>
        <rFont val="Arial"/>
        <family val="2"/>
      </rPr>
      <t xml:space="preserve"> του </t>
    </r>
    <r>
      <rPr>
        <b/>
        <sz val="10"/>
        <color indexed="52"/>
        <rFont val="Arial"/>
        <family val="2"/>
        <charset val="161"/>
      </rPr>
      <t>HI</t>
    </r>
    <r>
      <rPr>
        <b/>
        <vertAlign val="subscript"/>
        <sz val="10"/>
        <color indexed="52"/>
        <rFont val="Arial"/>
        <family val="2"/>
        <charset val="161"/>
      </rPr>
      <t>(g)</t>
    </r>
    <r>
      <rPr>
        <b/>
        <sz val="10"/>
        <color indexed="52"/>
        <rFont val="Arial"/>
        <family val="2"/>
        <charset val="161"/>
      </rPr>
      <t>,</t>
    </r>
    <r>
      <rPr>
        <b/>
        <sz val="10"/>
        <color indexed="43"/>
        <rFont val="Arial"/>
        <family val="2"/>
      </rPr>
      <t xml:space="preserve"> </t>
    </r>
    <r>
      <rPr>
        <b/>
        <sz val="10"/>
        <color indexed="10"/>
        <rFont val="Arial"/>
        <family val="2"/>
        <charset val="161"/>
      </rPr>
      <t>P</t>
    </r>
    <r>
      <rPr>
        <b/>
        <vertAlign val="subscript"/>
        <sz val="10"/>
        <color indexed="10"/>
        <rFont val="Arial"/>
        <family val="2"/>
        <charset val="161"/>
      </rPr>
      <t>1</t>
    </r>
    <r>
      <rPr>
        <b/>
        <sz val="10"/>
        <color indexed="10"/>
        <rFont val="Arial"/>
        <family val="2"/>
        <charset val="161"/>
      </rPr>
      <t>΄,</t>
    </r>
    <r>
      <rPr>
        <sz val="10"/>
        <color indexed="43"/>
        <rFont val="Arial"/>
        <family val="2"/>
      </rPr>
      <t xml:space="preserve"> θα ισούται με:</t>
    </r>
  </si>
  <si>
    <r>
      <t xml:space="preserve">Για τη συμπλήρωση των σειρών του πίνακα </t>
    </r>
    <r>
      <rPr>
        <b/>
        <sz val="10"/>
        <color indexed="52"/>
        <rFont val="Arial"/>
        <family val="2"/>
        <charset val="161"/>
      </rPr>
      <t>"αντέδρασαν",</t>
    </r>
    <r>
      <rPr>
        <b/>
        <sz val="10"/>
        <color indexed="43"/>
        <rFont val="Arial"/>
        <family val="2"/>
      </rPr>
      <t xml:space="preserve"> </t>
    </r>
    <r>
      <rPr>
        <b/>
        <sz val="10"/>
        <color indexed="52"/>
        <rFont val="Arial"/>
        <family val="2"/>
        <charset val="161"/>
      </rPr>
      <t>"πα-ράχθηκαν"</t>
    </r>
    <r>
      <rPr>
        <sz val="10"/>
        <color indexed="43"/>
        <rFont val="Arial"/>
        <family val="2"/>
        <charset val="161"/>
      </rPr>
      <t xml:space="preserve"> κλπ., ισχύει η παρατήρηση που διατυπώθηκε παραπάνω, στην άσκηση </t>
    </r>
    <r>
      <rPr>
        <b/>
        <sz val="10"/>
        <color indexed="52"/>
        <rFont val="Arial"/>
        <family val="2"/>
        <charset val="161"/>
      </rPr>
      <t>8.β.</t>
    </r>
  </si>
  <si>
    <r>
      <t xml:space="preserve">Από τη σύγκριση του πηλίκου της αντίδρασης </t>
    </r>
    <r>
      <rPr>
        <b/>
        <sz val="10"/>
        <color indexed="52"/>
        <rFont val="Arial"/>
        <family val="2"/>
        <charset val="161"/>
      </rPr>
      <t>Q</t>
    </r>
    <r>
      <rPr>
        <b/>
        <vertAlign val="subscript"/>
        <sz val="10"/>
        <color indexed="52"/>
        <rFont val="Arial"/>
        <family val="2"/>
        <charset val="161"/>
      </rPr>
      <t>C</t>
    </r>
    <r>
      <rPr>
        <b/>
        <sz val="10"/>
        <color indexed="52"/>
        <rFont val="Arial"/>
        <family val="2"/>
        <charset val="161"/>
      </rPr>
      <t>,</t>
    </r>
    <r>
      <rPr>
        <sz val="10"/>
        <color indexed="43"/>
        <rFont val="Arial"/>
        <family val="2"/>
      </rPr>
      <t xml:space="preserve"> η ο-ποία αντιστοιχεί στην αρχική κατάσταση, με τη σταθερά    </t>
    </r>
    <r>
      <rPr>
        <b/>
        <sz val="10"/>
        <color indexed="52"/>
        <rFont val="Arial"/>
        <family val="2"/>
        <charset val="161"/>
      </rPr>
      <t>K</t>
    </r>
    <r>
      <rPr>
        <b/>
        <vertAlign val="subscript"/>
        <sz val="10"/>
        <color indexed="52"/>
        <rFont val="Arial"/>
        <family val="2"/>
        <charset val="161"/>
      </rPr>
      <t>C</t>
    </r>
    <r>
      <rPr>
        <b/>
        <sz val="10"/>
        <color indexed="52"/>
        <rFont val="Arial"/>
        <family val="2"/>
        <charset val="161"/>
      </rPr>
      <t>,</t>
    </r>
    <r>
      <rPr>
        <sz val="10"/>
        <color indexed="43"/>
        <rFont val="Arial"/>
        <family val="2"/>
      </rPr>
      <t xml:space="preserve"> προκύπτει ότι:</t>
    </r>
  </si>
  <si>
    <r>
      <t xml:space="preserve">Από τα θερμοχημικά δεδομένα, για την ενθαλπία της α- ντίδρασης </t>
    </r>
    <r>
      <rPr>
        <b/>
        <sz val="10"/>
        <color indexed="52"/>
        <rFont val="Arial"/>
        <family val="2"/>
        <charset val="161"/>
      </rPr>
      <t>ΔΗ,</t>
    </r>
    <r>
      <rPr>
        <sz val="10"/>
        <color indexed="43"/>
        <rFont val="Arial"/>
        <family val="2"/>
      </rPr>
      <t xml:space="preserve"> προκύπτει ότι αυτή ισούται, εκφρασμένη σε </t>
    </r>
    <r>
      <rPr>
        <b/>
        <sz val="10"/>
        <color indexed="52"/>
        <rFont val="Arial"/>
        <family val="2"/>
        <charset val="161"/>
      </rPr>
      <t>kJ,</t>
    </r>
    <r>
      <rPr>
        <sz val="10"/>
        <color indexed="43"/>
        <rFont val="Arial"/>
        <family val="2"/>
      </rPr>
      <t xml:space="preserve"> με:</t>
    </r>
  </si>
  <si>
    <r>
      <t xml:space="preserve">     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charset val="161"/>
      </rPr>
      <t xml:space="preserve"> για την παραπάνω αμφίδρομη αντίδραση, θα δίνεται από τον τύπο…</t>
    </r>
  </si>
  <si>
    <r>
      <t xml:space="preserve">Είναι απαραίτητο να εξετάσουμε αν οι ποσότητες που περιέχονται τώρα στο δοχείο, στη νέα κατάσταση που έχει διαμορφωθεί, μετά την επιπλέον προσθήκη </t>
    </r>
    <r>
      <rPr>
        <b/>
        <sz val="10"/>
        <color indexed="52"/>
        <rFont val="Arial"/>
        <family val="2"/>
        <charset val="161"/>
      </rPr>
      <t>1,5mol H</t>
    </r>
    <r>
      <rPr>
        <b/>
        <vertAlign val="subscript"/>
        <sz val="10"/>
        <color indexed="52"/>
        <rFont val="Arial"/>
        <family val="2"/>
        <charset val="161"/>
      </rPr>
      <t>2</t>
    </r>
    <r>
      <rPr>
        <sz val="10"/>
        <color indexed="43"/>
        <rFont val="Arial"/>
        <family val="2"/>
        <charset val="161"/>
      </rPr>
      <t xml:space="preserve"> και </t>
    </r>
    <r>
      <rPr>
        <b/>
        <sz val="10"/>
        <color indexed="52"/>
        <rFont val="Arial"/>
        <family val="2"/>
        <charset val="161"/>
      </rPr>
      <t>0,6mol HI,</t>
    </r>
    <r>
      <rPr>
        <b/>
        <sz val="10"/>
        <color indexed="43"/>
        <rFont val="Arial"/>
        <family val="2"/>
      </rPr>
      <t xml:space="preserve"> </t>
    </r>
    <r>
      <rPr>
        <sz val="10"/>
        <color indexed="43"/>
        <rFont val="Arial"/>
        <family val="2"/>
        <charset val="161"/>
      </rPr>
      <t>βρίσκονται σε ΚΧΙ ή όχι.</t>
    </r>
  </si>
  <si>
    <r>
      <t xml:space="preserve">Αυτό μπορεί εύκολα να διαπιστωθεί αν υπολογίσουμε την τιμή που έχει στη νέα αυτή κατάσταση, το πηλίκο της αντίδρασης, </t>
    </r>
    <r>
      <rPr>
        <b/>
        <sz val="10"/>
        <color indexed="52"/>
        <rFont val="Arial"/>
        <family val="2"/>
        <charset val="161"/>
      </rPr>
      <t>Q</t>
    </r>
    <r>
      <rPr>
        <b/>
        <vertAlign val="subscript"/>
        <sz val="10"/>
        <color indexed="52"/>
        <rFont val="Arial"/>
        <family val="2"/>
        <charset val="161"/>
      </rPr>
      <t>C</t>
    </r>
    <r>
      <rPr>
        <b/>
        <sz val="10"/>
        <color indexed="52"/>
        <rFont val="Arial"/>
        <family val="2"/>
        <charset val="161"/>
      </rPr>
      <t>.</t>
    </r>
    <r>
      <rPr>
        <b/>
        <sz val="10"/>
        <color indexed="43"/>
        <rFont val="Arial"/>
        <family val="2"/>
      </rPr>
      <t xml:space="preserve"> </t>
    </r>
    <r>
      <rPr>
        <sz val="10"/>
        <color indexed="43"/>
        <rFont val="Arial"/>
        <family val="2"/>
        <charset val="161"/>
      </rPr>
      <t>Θα είναι…</t>
    </r>
  </si>
  <si>
    <r>
      <t xml:space="preserve">Αφού είναι </t>
    </r>
    <r>
      <rPr>
        <b/>
        <sz val="10"/>
        <color indexed="52"/>
        <rFont val="Arial"/>
        <family val="2"/>
        <charset val="161"/>
      </rPr>
      <t>Q</t>
    </r>
    <r>
      <rPr>
        <b/>
        <vertAlign val="subscript"/>
        <sz val="10"/>
        <color indexed="52"/>
        <rFont val="Arial"/>
        <family val="2"/>
        <charset val="161"/>
      </rPr>
      <t>C</t>
    </r>
    <r>
      <rPr>
        <b/>
        <sz val="10"/>
        <color indexed="52"/>
        <rFont val="Arial"/>
        <family val="2"/>
        <charset val="161"/>
      </rPr>
      <t>&lt;K</t>
    </r>
    <r>
      <rPr>
        <b/>
        <vertAlign val="subscript"/>
        <sz val="10"/>
        <color indexed="52"/>
        <rFont val="Arial"/>
        <family val="2"/>
        <charset val="161"/>
      </rPr>
      <t>C</t>
    </r>
    <r>
      <rPr>
        <sz val="10"/>
        <color indexed="43"/>
        <rFont val="Arial"/>
        <family val="2"/>
        <charset val="161"/>
      </rPr>
      <t xml:space="preserve"> δεν έχουμε χημική ισορροπία. Η αντίδραση εξελίσσεται γρηγορότερα προς τα δεξιά, δηλαδή είναι…</t>
    </r>
  </si>
  <si>
    <r>
      <t xml:space="preserve">    Q</t>
    </r>
    <r>
      <rPr>
        <b/>
        <vertAlign val="subscript"/>
        <sz val="18"/>
        <color indexed="53"/>
        <rFont val="Arial"/>
        <family val="2"/>
      </rPr>
      <t>C</t>
    </r>
    <r>
      <rPr>
        <b/>
        <sz val="18"/>
        <color indexed="53"/>
        <rFont val="Arial"/>
        <family val="2"/>
      </rPr>
      <t>&lt;K</t>
    </r>
    <r>
      <rPr>
        <b/>
        <vertAlign val="subscript"/>
        <sz val="18"/>
        <color indexed="53"/>
        <rFont val="Arial"/>
        <family val="2"/>
      </rPr>
      <t>C</t>
    </r>
  </si>
  <si>
    <r>
      <t xml:space="preserve">     Άρα οι τελικές ποσότητες των τριών αερίων στο δοχείο, θα είναι…
     </t>
    </r>
    <r>
      <rPr>
        <b/>
        <sz val="10"/>
        <color indexed="51"/>
        <rFont val="Arial"/>
        <family val="2"/>
        <charset val="161"/>
      </rPr>
      <t>2–x=2–0,48=1,52mol H</t>
    </r>
    <r>
      <rPr>
        <b/>
        <vertAlign val="subscript"/>
        <sz val="10"/>
        <color indexed="51"/>
        <rFont val="Arial"/>
        <family val="2"/>
        <charset val="161"/>
      </rPr>
      <t>2</t>
    </r>
    <r>
      <rPr>
        <b/>
        <sz val="10"/>
        <color indexed="43"/>
        <rFont val="Arial"/>
        <family val="2"/>
      </rPr>
      <t xml:space="preserve">
     </t>
    </r>
    <r>
      <rPr>
        <b/>
        <sz val="10"/>
        <color indexed="50"/>
        <rFont val="Arial"/>
        <family val="2"/>
        <charset val="161"/>
      </rPr>
      <t>2–x=2–0,48=1,52mol I</t>
    </r>
    <r>
      <rPr>
        <b/>
        <vertAlign val="subscript"/>
        <sz val="10"/>
        <color indexed="50"/>
        <rFont val="Arial"/>
        <family val="2"/>
        <charset val="161"/>
      </rPr>
      <t>2</t>
    </r>
    <r>
      <rPr>
        <sz val="10"/>
        <color indexed="50"/>
        <rFont val="Arial"/>
        <family val="2"/>
        <charset val="161"/>
      </rPr>
      <t xml:space="preserve"> και</t>
    </r>
    <r>
      <rPr>
        <sz val="10"/>
        <color indexed="43"/>
        <rFont val="Arial"/>
        <family val="2"/>
        <charset val="161"/>
      </rPr>
      <t xml:space="preserve">
    </t>
    </r>
    <r>
      <rPr>
        <b/>
        <sz val="10"/>
        <color indexed="43"/>
        <rFont val="Arial"/>
        <family val="2"/>
      </rPr>
      <t xml:space="preserve"> </t>
    </r>
    <r>
      <rPr>
        <b/>
        <sz val="10"/>
        <color indexed="51"/>
        <rFont val="Arial"/>
        <family val="2"/>
        <charset val="161"/>
      </rPr>
      <t>3,6+2·x=3,6+2·0,48=3,6+0,96=4,56mol HI.</t>
    </r>
  </si>
  <si>
    <r>
      <t xml:space="preserve">         α</t>
    </r>
    <r>
      <rPr>
        <b/>
        <sz val="12"/>
        <color indexed="10"/>
        <rFont val="Arial"/>
        <family val="2"/>
        <charset val="161"/>
      </rPr>
      <t>=</t>
    </r>
  </si>
  <si>
    <r>
      <t xml:space="preserve">     Υπολογισμός </t>
    </r>
    <r>
      <rPr>
        <b/>
        <sz val="10"/>
        <color indexed="52"/>
        <rFont val="Arial"/>
        <family val="2"/>
        <charset val="161"/>
      </rPr>
      <t>"θεωρητικών"</t>
    </r>
    <r>
      <rPr>
        <sz val="10"/>
        <color indexed="43"/>
        <rFont val="Arial"/>
        <family val="2"/>
      </rPr>
      <t xml:space="preserve"> ποσοτήτων αντιδρώντων - προϊόντων</t>
    </r>
  </si>
  <si>
    <r>
      <t xml:space="preserve">     Αν η αντίδραση γινόταν </t>
    </r>
    <r>
      <rPr>
        <b/>
        <sz val="10"/>
        <color indexed="52"/>
        <rFont val="Arial"/>
        <family val="2"/>
        <charset val="161"/>
      </rPr>
      <t>ποσοτικά,</t>
    </r>
    <r>
      <rPr>
        <sz val="10"/>
        <color indexed="43"/>
        <rFont val="Arial"/>
        <family val="2"/>
        <charset val="161"/>
      </rPr>
      <t xml:space="preserve"> ήταν δηλαδή </t>
    </r>
    <r>
      <rPr>
        <b/>
        <sz val="10"/>
        <color indexed="52"/>
        <rFont val="Arial"/>
        <family val="2"/>
        <charset val="161"/>
      </rPr>
      <t>μονόδρομη,</t>
    </r>
    <r>
      <rPr>
        <b/>
        <sz val="10"/>
        <color indexed="43"/>
        <rFont val="Arial"/>
        <family val="2"/>
      </rPr>
      <t xml:space="preserve"> </t>
    </r>
    <r>
      <rPr>
        <sz val="10"/>
        <color indexed="43"/>
        <rFont val="Arial"/>
        <family val="2"/>
        <charset val="161"/>
      </rPr>
      <t>τότε θα είχαμε…</t>
    </r>
  </si>
  <si>
    <r>
      <t xml:space="preserve">     Άρα οι </t>
    </r>
    <r>
      <rPr>
        <b/>
        <sz val="10"/>
        <color indexed="52"/>
        <rFont val="Arial"/>
        <family val="2"/>
        <charset val="161"/>
      </rPr>
      <t>"θεωρητικές"</t>
    </r>
    <r>
      <rPr>
        <sz val="10"/>
        <color indexed="43"/>
        <rFont val="Arial"/>
        <family val="2"/>
        <charset val="161"/>
      </rPr>
      <t xml:space="preserve"> ποσότητες, όπως προκύπτουν από την παραπάνω κατάστρωση, είναι…
     για το </t>
    </r>
    <r>
      <rPr>
        <b/>
        <sz val="10"/>
        <color indexed="44"/>
        <rFont val="Arial"/>
        <family val="2"/>
        <charset val="161"/>
      </rPr>
      <t>Ν</t>
    </r>
    <r>
      <rPr>
        <b/>
        <vertAlign val="subscript"/>
        <sz val="10"/>
        <color indexed="44"/>
        <rFont val="Arial"/>
        <family val="2"/>
        <charset val="161"/>
      </rPr>
      <t>2</t>
    </r>
    <r>
      <rPr>
        <b/>
        <sz val="10"/>
        <color indexed="44"/>
        <rFont val="Arial"/>
        <family val="2"/>
        <charset val="161"/>
      </rPr>
      <t xml:space="preserve">: </t>
    </r>
    <r>
      <rPr>
        <sz val="10"/>
        <color indexed="44"/>
        <rFont val="Arial"/>
        <family val="2"/>
        <charset val="161"/>
      </rPr>
      <t xml:space="preserve"> </t>
    </r>
    <r>
      <rPr>
        <b/>
        <sz val="10"/>
        <color indexed="44"/>
        <rFont val="Arial"/>
        <family val="2"/>
        <charset val="161"/>
      </rPr>
      <t>3mol,</t>
    </r>
    <r>
      <rPr>
        <sz val="10"/>
        <color indexed="43"/>
        <rFont val="Arial"/>
        <family val="2"/>
        <charset val="161"/>
      </rPr>
      <t xml:space="preserve">
     για το </t>
    </r>
    <r>
      <rPr>
        <b/>
        <sz val="10"/>
        <color indexed="44"/>
        <rFont val="Arial"/>
        <family val="2"/>
        <charset val="161"/>
      </rPr>
      <t>Η</t>
    </r>
    <r>
      <rPr>
        <b/>
        <vertAlign val="subscript"/>
        <sz val="10"/>
        <color indexed="44"/>
        <rFont val="Arial"/>
        <family val="2"/>
        <charset val="161"/>
      </rPr>
      <t>2</t>
    </r>
    <r>
      <rPr>
        <b/>
        <sz val="10"/>
        <color indexed="44"/>
        <rFont val="Arial"/>
        <family val="2"/>
        <charset val="161"/>
      </rPr>
      <t>:  9mol</t>
    </r>
    <r>
      <rPr>
        <sz val="10"/>
        <color indexed="43"/>
        <rFont val="Arial"/>
        <family val="2"/>
        <charset val="161"/>
      </rPr>
      <t xml:space="preserve">  και
     για την</t>
    </r>
    <r>
      <rPr>
        <b/>
        <sz val="10"/>
        <color indexed="43"/>
        <rFont val="Arial"/>
        <family val="2"/>
      </rPr>
      <t xml:space="preserve"> </t>
    </r>
    <r>
      <rPr>
        <b/>
        <sz val="10"/>
        <color indexed="53"/>
        <rFont val="Arial"/>
        <family val="2"/>
        <charset val="161"/>
      </rPr>
      <t>αμμωνία (ΝΗ</t>
    </r>
    <r>
      <rPr>
        <b/>
        <vertAlign val="subscript"/>
        <sz val="10"/>
        <color indexed="53"/>
        <rFont val="Arial"/>
        <family val="2"/>
        <charset val="161"/>
      </rPr>
      <t>3</t>
    </r>
    <r>
      <rPr>
        <b/>
        <sz val="10"/>
        <color indexed="53"/>
        <rFont val="Arial"/>
        <family val="2"/>
        <charset val="161"/>
      </rPr>
      <t>):  6mol.</t>
    </r>
  </si>
  <si>
    <t></t>
  </si>
  <si>
    <r>
      <t xml:space="preserve">     Υπολογισμός του </t>
    </r>
    <r>
      <rPr>
        <b/>
        <sz val="10"/>
        <color indexed="10"/>
        <rFont val="Arial"/>
        <family val="2"/>
        <charset val="161"/>
      </rPr>
      <t>"α"</t>
    </r>
    <r>
      <rPr>
        <sz val="10"/>
        <color indexed="50"/>
        <rFont val="Arial"/>
        <family val="2"/>
      </rPr>
      <t xml:space="preserve"> με βάση το </t>
    </r>
    <r>
      <rPr>
        <b/>
        <sz val="10"/>
        <color indexed="10"/>
        <rFont val="Arial"/>
        <family val="2"/>
        <charset val="161"/>
      </rPr>
      <t>προϊόν (NH</t>
    </r>
    <r>
      <rPr>
        <b/>
        <vertAlign val="subscript"/>
        <sz val="10"/>
        <color indexed="10"/>
        <rFont val="Arial"/>
        <family val="2"/>
        <charset val="161"/>
      </rPr>
      <t>3</t>
    </r>
    <r>
      <rPr>
        <b/>
        <sz val="10"/>
        <color indexed="10"/>
        <rFont val="Arial"/>
        <family val="2"/>
        <charset val="161"/>
      </rPr>
      <t>)…</t>
    </r>
  </si>
  <si>
    <r>
      <t>ποσότητα ΝΗ</t>
    </r>
    <r>
      <rPr>
        <vertAlign val="subscript"/>
        <sz val="10"/>
        <color indexed="52"/>
        <rFont val="Arial"/>
        <family val="2"/>
        <charset val="161"/>
      </rPr>
      <t>3</t>
    </r>
    <r>
      <rPr>
        <sz val="10"/>
        <color indexed="52"/>
        <rFont val="Arial"/>
        <family val="2"/>
        <charset val="161"/>
      </rPr>
      <t xml:space="preserve"> στην "πράξη"</t>
    </r>
  </si>
  <si>
    <r>
      <t>"θεωρητική" ποσότητα ΝΗ</t>
    </r>
    <r>
      <rPr>
        <vertAlign val="subscript"/>
        <sz val="10"/>
        <color indexed="52"/>
        <rFont val="Arial"/>
        <family val="2"/>
        <charset val="161"/>
      </rPr>
      <t>3</t>
    </r>
  </si>
  <si>
    <r>
      <t xml:space="preserve">     Υπολογισμός του </t>
    </r>
    <r>
      <rPr>
        <b/>
        <sz val="10"/>
        <color indexed="10"/>
        <rFont val="Arial"/>
        <family val="2"/>
        <charset val="161"/>
      </rPr>
      <t>"α"</t>
    </r>
    <r>
      <rPr>
        <b/>
        <sz val="10"/>
        <color indexed="50"/>
        <rFont val="Arial"/>
        <family val="2"/>
      </rPr>
      <t xml:space="preserve"> </t>
    </r>
    <r>
      <rPr>
        <sz val="10"/>
        <color indexed="50"/>
        <rFont val="Arial"/>
        <family val="2"/>
      </rPr>
      <t xml:space="preserve">με βάση το </t>
    </r>
    <r>
      <rPr>
        <b/>
        <sz val="10"/>
        <color indexed="10"/>
        <rFont val="Arial"/>
        <family val="2"/>
        <charset val="161"/>
      </rPr>
      <t>άζωτο (N</t>
    </r>
    <r>
      <rPr>
        <b/>
        <vertAlign val="subscript"/>
        <sz val="10"/>
        <color indexed="10"/>
        <rFont val="Arial"/>
        <family val="2"/>
        <charset val="161"/>
      </rPr>
      <t>2</t>
    </r>
    <r>
      <rPr>
        <b/>
        <sz val="10"/>
        <color indexed="10"/>
        <rFont val="Arial"/>
        <family val="2"/>
        <charset val="161"/>
      </rPr>
      <t>)…</t>
    </r>
  </si>
  <si>
    <r>
      <t xml:space="preserve">     ποσότητα Ν</t>
    </r>
    <r>
      <rPr>
        <vertAlign val="subscript"/>
        <sz val="10"/>
        <color indexed="52"/>
        <rFont val="Arial"/>
        <family val="2"/>
      </rPr>
      <t>2</t>
    </r>
    <r>
      <rPr>
        <sz val="10"/>
        <color indexed="52"/>
        <rFont val="Arial"/>
        <family val="2"/>
      </rPr>
      <t xml:space="preserve"> στην "πράξη"</t>
    </r>
  </si>
  <si>
    <r>
      <t xml:space="preserve">      "θεωρητική" ποσότητα Ν</t>
    </r>
    <r>
      <rPr>
        <vertAlign val="subscript"/>
        <sz val="10"/>
        <color indexed="52"/>
        <rFont val="Arial"/>
        <family val="2"/>
      </rPr>
      <t>2</t>
    </r>
  </si>
  <si>
    <r>
      <t xml:space="preserve">     Υπολογισμός του </t>
    </r>
    <r>
      <rPr>
        <b/>
        <sz val="10"/>
        <color indexed="10"/>
        <rFont val="Arial"/>
        <family val="2"/>
        <charset val="161"/>
      </rPr>
      <t>"α"</t>
    </r>
    <r>
      <rPr>
        <sz val="10"/>
        <color indexed="50"/>
        <rFont val="Arial"/>
        <family val="2"/>
      </rPr>
      <t xml:space="preserve"> με βάση το </t>
    </r>
    <r>
      <rPr>
        <b/>
        <sz val="10"/>
        <color indexed="10"/>
        <rFont val="Arial"/>
        <family val="2"/>
        <charset val="161"/>
      </rPr>
      <t>υδρογόνο (Η</t>
    </r>
    <r>
      <rPr>
        <b/>
        <vertAlign val="subscript"/>
        <sz val="10"/>
        <color indexed="10"/>
        <rFont val="Arial"/>
        <family val="2"/>
        <charset val="161"/>
      </rPr>
      <t>2</t>
    </r>
    <r>
      <rPr>
        <b/>
        <sz val="10"/>
        <color indexed="10"/>
        <rFont val="Arial"/>
        <family val="2"/>
        <charset val="161"/>
      </rPr>
      <t>)…</t>
    </r>
  </si>
  <si>
    <r>
      <t>ποσότητα Η</t>
    </r>
    <r>
      <rPr>
        <vertAlign val="subscript"/>
        <sz val="10"/>
        <color indexed="52"/>
        <rFont val="Arial"/>
        <family val="2"/>
        <charset val="161"/>
      </rPr>
      <t>2</t>
    </r>
    <r>
      <rPr>
        <sz val="10"/>
        <color indexed="52"/>
        <rFont val="Arial"/>
        <family val="2"/>
        <charset val="161"/>
      </rPr>
      <t xml:space="preserve"> στην "πράξη"</t>
    </r>
  </si>
  <si>
    <r>
      <t>"θεωρητική" ποσότητα Η</t>
    </r>
    <r>
      <rPr>
        <vertAlign val="subscript"/>
        <sz val="10"/>
        <color indexed="52"/>
        <rFont val="Arial"/>
        <family val="2"/>
        <charset val="161"/>
      </rPr>
      <t>2</t>
    </r>
  </si>
  <si>
    <r>
      <t xml:space="preserve">Για το ποσό θερμότητας </t>
    </r>
    <r>
      <rPr>
        <b/>
        <sz val="10"/>
        <color indexed="52"/>
        <rFont val="Arial"/>
        <family val="2"/>
        <charset val="161"/>
      </rPr>
      <t>Q,</t>
    </r>
    <r>
      <rPr>
        <sz val="10"/>
        <color indexed="43"/>
        <rFont val="Arial"/>
        <family val="2"/>
      </rPr>
      <t xml:space="preserve"> που ανταλλάσ- σει το σύστημα με το περιβάλλον, κατά τη μετάβασή του από την </t>
    </r>
    <r>
      <rPr>
        <b/>
        <sz val="10"/>
        <color indexed="52"/>
        <rFont val="Arial"/>
        <family val="2"/>
        <charset val="161"/>
      </rPr>
      <t>αρχική κατάσταση</t>
    </r>
    <r>
      <rPr>
        <sz val="10"/>
        <color indexed="43"/>
        <rFont val="Arial"/>
        <family val="2"/>
      </rPr>
      <t xml:space="preserve"> στην</t>
    </r>
    <r>
      <rPr>
        <b/>
        <sz val="10"/>
        <color indexed="43"/>
        <rFont val="Arial"/>
        <family val="2"/>
      </rPr>
      <t xml:space="preserve"> </t>
    </r>
    <r>
      <rPr>
        <b/>
        <sz val="10"/>
        <color indexed="52"/>
        <rFont val="Arial"/>
        <family val="2"/>
        <charset val="161"/>
      </rPr>
      <t>ΚΧΙ,</t>
    </r>
    <r>
      <rPr>
        <sz val="10"/>
        <color indexed="43"/>
        <rFont val="Arial"/>
        <family val="2"/>
      </rPr>
      <t xml:space="preserve"> ισχύει ότι αυτό:</t>
    </r>
  </si>
  <si>
    <r>
      <t>Η ποσότητα</t>
    </r>
    <r>
      <rPr>
        <sz val="10"/>
        <color indexed="43"/>
        <rFont val="Arial"/>
        <family val="2"/>
        <charset val="161"/>
      </rPr>
      <t xml:space="preserve"> (σε </t>
    </r>
    <r>
      <rPr>
        <b/>
        <sz val="10"/>
        <color indexed="52"/>
        <rFont val="Arial"/>
        <family val="2"/>
        <charset val="161"/>
      </rPr>
      <t>mol</t>
    </r>
    <r>
      <rPr>
        <sz val="10"/>
        <color indexed="43"/>
        <rFont val="Arial"/>
        <family val="2"/>
        <charset val="161"/>
      </rPr>
      <t>)</t>
    </r>
    <r>
      <rPr>
        <sz val="10"/>
        <color indexed="43"/>
        <rFont val="Arial"/>
        <family val="2"/>
      </rPr>
      <t xml:space="preserve"> του </t>
    </r>
    <r>
      <rPr>
        <b/>
        <sz val="10"/>
        <color indexed="52"/>
        <rFont val="Arial"/>
        <family val="2"/>
        <charset val="161"/>
      </rPr>
      <t>CO</t>
    </r>
    <r>
      <rPr>
        <b/>
        <vertAlign val="subscript"/>
        <sz val="10"/>
        <color indexed="52"/>
        <rFont val="Arial"/>
        <family val="2"/>
        <charset val="161"/>
      </rPr>
      <t>2(g)</t>
    </r>
    <r>
      <rPr>
        <sz val="10"/>
        <color indexed="43"/>
        <rFont val="Arial"/>
        <family val="2"/>
      </rPr>
      <t xml:space="preserve"> στην </t>
    </r>
    <r>
      <rPr>
        <b/>
        <sz val="10"/>
        <color indexed="52"/>
        <rFont val="Arial"/>
        <family val="2"/>
        <charset val="161"/>
      </rPr>
      <t>ΚΧΙ</t>
    </r>
    <r>
      <rPr>
        <b/>
        <sz val="10"/>
        <color indexed="43"/>
        <rFont val="Arial"/>
        <family val="2"/>
      </rPr>
      <t xml:space="preserve"> </t>
    </r>
    <r>
      <rPr>
        <sz val="10"/>
        <color indexed="43"/>
        <rFont val="Arial"/>
        <family val="2"/>
      </rPr>
      <t>θα είναι:</t>
    </r>
  </si>
  <si>
    <r>
      <t>2</t>
    </r>
    <r>
      <rPr>
        <b/>
        <sz val="11"/>
        <color indexed="43"/>
        <rFont val="Arial"/>
        <family val="2"/>
      </rPr>
      <t>CO</t>
    </r>
    <r>
      <rPr>
        <b/>
        <vertAlign val="subscript"/>
        <sz val="11"/>
        <color indexed="43"/>
        <rFont val="Arial"/>
        <family val="2"/>
      </rPr>
      <t>(g)</t>
    </r>
  </si>
  <si>
    <r>
      <t>n</t>
    </r>
    <r>
      <rPr>
        <b/>
        <vertAlign val="subscript"/>
        <sz val="10"/>
        <color indexed="52"/>
        <rFont val="Arial"/>
        <family val="2"/>
        <charset val="161"/>
      </rPr>
      <t>1</t>
    </r>
    <r>
      <rPr>
        <b/>
        <sz val="10"/>
        <color indexed="52"/>
        <rFont val="Arial"/>
        <family val="2"/>
        <charset val="161"/>
      </rPr>
      <t>mol</t>
    </r>
  </si>
  <si>
    <r>
      <t>n</t>
    </r>
    <r>
      <rPr>
        <b/>
        <vertAlign val="subscript"/>
        <sz val="10"/>
        <color indexed="52"/>
        <rFont val="Arial"/>
        <family val="2"/>
        <charset val="161"/>
      </rPr>
      <t>2</t>
    </r>
    <r>
      <rPr>
        <b/>
        <sz val="10"/>
        <color indexed="52"/>
        <rFont val="Arial"/>
        <family val="2"/>
        <charset val="161"/>
      </rPr>
      <t>mol</t>
    </r>
  </si>
  <si>
    <r>
      <t>P</t>
    </r>
    <r>
      <rPr>
        <b/>
        <vertAlign val="subscript"/>
        <sz val="10"/>
        <color indexed="52"/>
        <rFont val="Arial"/>
        <family val="2"/>
      </rPr>
      <t>ολ.α.</t>
    </r>
    <r>
      <rPr>
        <b/>
        <sz val="10"/>
        <color indexed="52"/>
        <rFont val="Arial"/>
        <family val="2"/>
      </rPr>
      <t>, V</t>
    </r>
    <r>
      <rPr>
        <b/>
        <vertAlign val="subscript"/>
        <sz val="10"/>
        <color indexed="52"/>
        <rFont val="Arial"/>
        <family val="2"/>
      </rPr>
      <t>ολ.α.</t>
    </r>
    <r>
      <rPr>
        <sz val="10"/>
        <color indexed="52"/>
        <rFont val="Arial"/>
        <family val="2"/>
      </rPr>
      <t xml:space="preserve">
</t>
    </r>
    <r>
      <rPr>
        <b/>
        <sz val="10"/>
        <color indexed="52"/>
        <rFont val="Arial"/>
        <family val="2"/>
      </rPr>
      <t>(CO</t>
    </r>
    <r>
      <rPr>
        <b/>
        <vertAlign val="subscript"/>
        <sz val="10"/>
        <color indexed="52"/>
        <rFont val="Arial"/>
        <family val="2"/>
      </rPr>
      <t>2</t>
    </r>
    <r>
      <rPr>
        <b/>
        <sz val="10"/>
        <color indexed="52"/>
        <rFont val="Arial"/>
        <family val="2"/>
      </rPr>
      <t>): γ</t>
    </r>
    <r>
      <rPr>
        <b/>
        <vertAlign val="subscript"/>
        <sz val="10"/>
        <color indexed="52"/>
        <rFont val="Arial"/>
        <family val="2"/>
      </rPr>
      <t>1α.</t>
    </r>
    <r>
      <rPr>
        <b/>
        <sz val="10"/>
        <color indexed="52"/>
        <rFont val="Arial"/>
        <family val="2"/>
      </rPr>
      <t>=0,5</t>
    </r>
  </si>
  <si>
    <r>
      <t>P</t>
    </r>
    <r>
      <rPr>
        <b/>
        <vertAlign val="subscript"/>
        <sz val="10"/>
        <color indexed="52"/>
        <rFont val="Arial"/>
        <family val="2"/>
      </rPr>
      <t>ολ.τ.</t>
    </r>
    <r>
      <rPr>
        <b/>
        <sz val="10"/>
        <color indexed="52"/>
        <rFont val="Arial"/>
        <family val="2"/>
      </rPr>
      <t>, V</t>
    </r>
    <r>
      <rPr>
        <b/>
        <vertAlign val="subscript"/>
        <sz val="10"/>
        <color indexed="52"/>
        <rFont val="Arial"/>
        <family val="2"/>
      </rPr>
      <t>ολ.τ.</t>
    </r>
    <r>
      <rPr>
        <b/>
        <sz val="10"/>
        <color indexed="52"/>
        <rFont val="Arial"/>
        <family val="2"/>
      </rPr>
      <t xml:space="preserve">
(CO</t>
    </r>
    <r>
      <rPr>
        <b/>
        <vertAlign val="subscript"/>
        <sz val="10"/>
        <color indexed="52"/>
        <rFont val="Arial"/>
        <family val="2"/>
      </rPr>
      <t>2</t>
    </r>
    <r>
      <rPr>
        <b/>
        <sz val="10"/>
        <color indexed="52"/>
        <rFont val="Arial"/>
        <family val="2"/>
      </rPr>
      <t>): γ</t>
    </r>
    <r>
      <rPr>
        <b/>
        <vertAlign val="subscript"/>
        <sz val="10"/>
        <color indexed="52"/>
        <rFont val="Arial"/>
        <family val="2"/>
      </rPr>
      <t>1τ.</t>
    </r>
    <r>
      <rPr>
        <b/>
        <sz val="10"/>
        <color indexed="52"/>
        <rFont val="Arial"/>
        <family val="2"/>
      </rPr>
      <t>=0,8</t>
    </r>
  </si>
  <si>
    <r>
      <t xml:space="preserve">Ο λόγος </t>
    </r>
    <r>
      <rPr>
        <b/>
        <sz val="10"/>
        <color indexed="52"/>
        <rFont val="Arial"/>
        <family val="2"/>
        <charset val="161"/>
      </rPr>
      <t>P</t>
    </r>
    <r>
      <rPr>
        <b/>
        <vertAlign val="subscript"/>
        <sz val="10"/>
        <color indexed="52"/>
        <rFont val="Arial"/>
        <family val="2"/>
        <charset val="161"/>
      </rPr>
      <t>ολ.α.</t>
    </r>
    <r>
      <rPr>
        <b/>
        <sz val="10"/>
        <color indexed="52"/>
        <rFont val="Arial"/>
        <family val="2"/>
        <charset val="161"/>
      </rPr>
      <t>:P</t>
    </r>
    <r>
      <rPr>
        <b/>
        <vertAlign val="subscript"/>
        <sz val="10"/>
        <color indexed="52"/>
        <rFont val="Arial"/>
        <family val="2"/>
        <charset val="161"/>
      </rPr>
      <t>ολ.τ.</t>
    </r>
    <r>
      <rPr>
        <b/>
        <sz val="10"/>
        <color indexed="52"/>
        <rFont val="Arial"/>
        <family val="2"/>
        <charset val="161"/>
      </rPr>
      <t>,</t>
    </r>
    <r>
      <rPr>
        <sz val="10"/>
        <color indexed="43"/>
        <rFont val="Arial"/>
        <family val="2"/>
      </rPr>
      <t xml:space="preserve"> με βάση τα παραπάνω δεδομένα, προκύπτει ότι ισούται με:</t>
    </r>
  </si>
  <si>
    <r>
      <t xml:space="preserve">αλλαγή του όγκου από </t>
    </r>
    <r>
      <rPr>
        <b/>
        <sz val="10"/>
        <color indexed="52"/>
        <rFont val="Arial"/>
        <family val="2"/>
        <charset val="161"/>
      </rPr>
      <t>Vολ.α.</t>
    </r>
    <r>
      <rPr>
        <sz val="10"/>
        <color indexed="43"/>
        <rFont val="Arial"/>
        <family val="2"/>
      </rPr>
      <t xml:space="preserve"> (αρχικό), σε </t>
    </r>
    <r>
      <rPr>
        <b/>
        <sz val="10"/>
        <color indexed="52"/>
        <rFont val="Arial"/>
        <family val="2"/>
        <charset val="161"/>
      </rPr>
      <t>Vολ.τ.</t>
    </r>
    <r>
      <rPr>
        <sz val="10"/>
        <color indexed="43"/>
        <rFont val="Arial"/>
        <family val="2"/>
      </rPr>
      <t xml:space="preserve"> (τελικό)</t>
    </r>
  </si>
  <si>
    <r>
      <t>K</t>
    </r>
    <r>
      <rPr>
        <b/>
        <vertAlign val="subscript"/>
        <sz val="10"/>
        <color indexed="53"/>
        <rFont val="Arial"/>
        <family val="2"/>
      </rPr>
      <t>C1</t>
    </r>
    <r>
      <rPr>
        <b/>
        <sz val="10"/>
        <color indexed="53"/>
        <rFont val="Arial"/>
        <family val="2"/>
      </rPr>
      <t>=0,2mol/L</t>
    </r>
  </si>
  <si>
    <r>
      <t>K</t>
    </r>
    <r>
      <rPr>
        <b/>
        <vertAlign val="subscript"/>
        <sz val="10"/>
        <color indexed="53"/>
        <rFont val="Arial"/>
        <family val="2"/>
      </rPr>
      <t>C2</t>
    </r>
    <r>
      <rPr>
        <b/>
        <sz val="10"/>
        <color indexed="53"/>
        <rFont val="Arial"/>
        <family val="2"/>
      </rPr>
      <t>=2mol/L</t>
    </r>
  </si>
  <si>
    <r>
      <t xml:space="preserve">Σε κλειστό δοχείο που έχει </t>
    </r>
    <r>
      <rPr>
        <b/>
        <sz val="10"/>
        <color indexed="52"/>
        <rFont val="Arial"/>
        <family val="2"/>
        <charset val="161"/>
      </rPr>
      <t>σταθερό</t>
    </r>
    <r>
      <rPr>
        <sz val="10"/>
        <color indexed="43"/>
        <rFont val="Arial"/>
        <family val="2"/>
        <charset val="161"/>
      </rPr>
      <t xml:space="preserve"> όγκο </t>
    </r>
    <r>
      <rPr>
        <b/>
        <sz val="10"/>
        <color indexed="52"/>
        <rFont val="Arial"/>
        <family val="2"/>
        <charset val="161"/>
      </rPr>
      <t>V=1,2L,</t>
    </r>
    <r>
      <rPr>
        <sz val="10"/>
        <color indexed="43"/>
        <rFont val="Arial"/>
        <family val="2"/>
        <charset val="161"/>
      </rPr>
      <t xml:space="preserve"> εισάγονται μαζί </t>
    </r>
    <r>
      <rPr>
        <b/>
        <sz val="10"/>
        <color indexed="52"/>
        <rFont val="Arial"/>
        <family val="2"/>
        <charset val="161"/>
      </rPr>
      <t>1mol</t>
    </r>
    <r>
      <rPr>
        <sz val="10"/>
        <color indexed="52"/>
        <rFont val="Arial"/>
        <family val="2"/>
        <charset val="161"/>
      </rPr>
      <t xml:space="preserve"> </t>
    </r>
    <r>
      <rPr>
        <b/>
        <sz val="10"/>
        <color indexed="52"/>
        <rFont val="Arial"/>
        <family val="2"/>
        <charset val="161"/>
      </rPr>
      <t>CaCO</t>
    </r>
    <r>
      <rPr>
        <b/>
        <vertAlign val="subscript"/>
        <sz val="10"/>
        <color indexed="52"/>
        <rFont val="Arial"/>
        <family val="2"/>
        <charset val="161"/>
      </rPr>
      <t>3(s)</t>
    </r>
    <r>
      <rPr>
        <sz val="10"/>
        <color indexed="43"/>
        <rFont val="Arial"/>
        <family val="2"/>
        <charset val="161"/>
      </rPr>
      <t xml:space="preserve"> και </t>
    </r>
    <r>
      <rPr>
        <b/>
        <sz val="10"/>
        <color indexed="52"/>
        <rFont val="Arial"/>
        <family val="2"/>
        <charset val="161"/>
      </rPr>
      <t>1mol C</t>
    </r>
    <r>
      <rPr>
        <b/>
        <vertAlign val="subscript"/>
        <sz val="10"/>
        <color indexed="52"/>
        <rFont val="Arial"/>
        <family val="2"/>
        <charset val="161"/>
      </rPr>
      <t>(s)</t>
    </r>
    <r>
      <rPr>
        <sz val="10"/>
        <color indexed="43"/>
        <rFont val="Arial"/>
        <family val="2"/>
        <charset val="161"/>
      </rPr>
      <t xml:space="preserve"> και αποκαθίστανται οι δυο παραπά- νω ΧΙ, σε </t>
    </r>
    <r>
      <rPr>
        <b/>
        <sz val="10"/>
        <color indexed="52"/>
        <rFont val="Arial"/>
        <family val="2"/>
        <charset val="161"/>
      </rPr>
      <t>σταθερή</t>
    </r>
    <r>
      <rPr>
        <sz val="10"/>
        <color indexed="43"/>
        <rFont val="Arial"/>
        <family val="2"/>
        <charset val="161"/>
      </rPr>
      <t xml:space="preserve"> θερμοκρασία </t>
    </r>
    <r>
      <rPr>
        <b/>
        <sz val="10"/>
        <color indexed="52"/>
        <rFont val="Arial"/>
        <family val="2"/>
        <charset val="161"/>
      </rPr>
      <t>θ°C.</t>
    </r>
    <r>
      <rPr>
        <sz val="10"/>
        <color indexed="43"/>
        <rFont val="Arial"/>
        <family val="2"/>
        <charset val="161"/>
      </rPr>
      <t xml:space="preserve"> Έστω ότι μέχρι να αποκατα- σταθεί ΧΙ διασπάστηκαν </t>
    </r>
    <r>
      <rPr>
        <b/>
        <sz val="10"/>
        <color indexed="52"/>
        <rFont val="Arial"/>
        <family val="2"/>
        <charset val="161"/>
      </rPr>
      <t>xmol</t>
    </r>
    <r>
      <rPr>
        <sz val="10"/>
        <color indexed="43"/>
        <rFont val="Arial"/>
        <family val="2"/>
        <charset val="161"/>
      </rPr>
      <t xml:space="preserve"> από το </t>
    </r>
    <r>
      <rPr>
        <b/>
        <sz val="10"/>
        <color indexed="52"/>
        <rFont val="Arial"/>
        <family val="2"/>
        <charset val="161"/>
      </rPr>
      <t>CaCO</t>
    </r>
    <r>
      <rPr>
        <b/>
        <vertAlign val="subscript"/>
        <sz val="10"/>
        <color indexed="52"/>
        <rFont val="Arial"/>
        <family val="2"/>
        <charset val="161"/>
      </rPr>
      <t>3(s)</t>
    </r>
    <r>
      <rPr>
        <b/>
        <sz val="10"/>
        <color indexed="52"/>
        <rFont val="Arial"/>
        <family val="2"/>
        <charset val="161"/>
      </rPr>
      <t>,</t>
    </r>
    <r>
      <rPr>
        <b/>
        <sz val="10"/>
        <color indexed="43"/>
        <rFont val="Arial"/>
        <family val="2"/>
      </rPr>
      <t xml:space="preserve"> </t>
    </r>
    <r>
      <rPr>
        <sz val="10"/>
        <color indexed="43"/>
        <rFont val="Arial"/>
        <family val="2"/>
        <charset val="161"/>
      </rPr>
      <t xml:space="preserve">όσον αφορά στην πρώτη αντίδραση, ενώ παράλληλα αντέδρασαν και </t>
    </r>
    <r>
      <rPr>
        <b/>
        <sz val="10"/>
        <color indexed="52"/>
        <rFont val="Arial"/>
        <family val="2"/>
        <charset val="161"/>
      </rPr>
      <t>ymol</t>
    </r>
    <r>
      <rPr>
        <sz val="10"/>
        <color indexed="43"/>
        <rFont val="Arial"/>
        <family val="2"/>
        <charset val="161"/>
      </rPr>
      <t xml:space="preserve"> από τον </t>
    </r>
    <r>
      <rPr>
        <b/>
        <sz val="10"/>
        <color indexed="52"/>
        <rFont val="Arial"/>
        <family val="2"/>
        <charset val="161"/>
      </rPr>
      <t>C</t>
    </r>
    <r>
      <rPr>
        <b/>
        <vertAlign val="subscript"/>
        <sz val="10"/>
        <color indexed="52"/>
        <rFont val="Arial"/>
        <family val="2"/>
        <charset val="161"/>
      </rPr>
      <t>(s)</t>
    </r>
    <r>
      <rPr>
        <b/>
        <sz val="10"/>
        <color indexed="52"/>
        <rFont val="Arial"/>
        <family val="2"/>
        <charset val="161"/>
      </rPr>
      <t>,</t>
    </r>
    <r>
      <rPr>
        <b/>
        <sz val="10"/>
        <color indexed="43"/>
        <rFont val="Arial"/>
        <family val="2"/>
      </rPr>
      <t xml:space="preserve"> </t>
    </r>
    <r>
      <rPr>
        <sz val="10"/>
        <color indexed="43"/>
        <rFont val="Arial"/>
        <family val="2"/>
      </rPr>
      <t>όσον αφορά στη δεύτερη αντίδραση.</t>
    </r>
    <r>
      <rPr>
        <sz val="10"/>
        <color indexed="43"/>
        <rFont val="Arial"/>
        <family val="2"/>
        <charset val="161"/>
      </rPr>
      <t xml:space="preserve"> Να θεωρηθεί ότι ο όγκος των στερεών ουσιών που περιέχονται στο δοχείο, είναι </t>
    </r>
    <r>
      <rPr>
        <b/>
        <sz val="10"/>
        <color indexed="52"/>
        <rFont val="Arial"/>
        <family val="2"/>
        <charset val="161"/>
      </rPr>
      <t>αμελητέος</t>
    </r>
    <r>
      <rPr>
        <sz val="10"/>
        <color indexed="43"/>
        <rFont val="Arial"/>
        <family val="2"/>
        <charset val="161"/>
      </rPr>
      <t xml:space="preserve"> συγκρινόμενος με το συνολικό όγκο του δοχείου. </t>
    </r>
  </si>
  <si>
    <t>Επιστροφή…</t>
  </si>
  <si>
    <t>… στην αρχή της σελίδας.</t>
  </si>
  <si>
    <r>
      <t xml:space="preserve">Η συγκέντρωση του </t>
    </r>
    <r>
      <rPr>
        <b/>
        <sz val="10"/>
        <color indexed="52"/>
        <rFont val="Arial"/>
        <family val="2"/>
        <charset val="161"/>
      </rPr>
      <t>CO</t>
    </r>
    <r>
      <rPr>
        <b/>
        <vertAlign val="subscript"/>
        <sz val="10"/>
        <color indexed="52"/>
        <rFont val="Arial"/>
        <family val="2"/>
        <charset val="161"/>
      </rPr>
      <t>2(g)</t>
    </r>
    <r>
      <rPr>
        <sz val="10"/>
        <color indexed="43"/>
        <rFont val="Arial"/>
        <family val="2"/>
      </rPr>
      <t xml:space="preserve"> στην </t>
    </r>
    <r>
      <rPr>
        <b/>
        <sz val="10"/>
        <color indexed="52"/>
        <rFont val="Arial"/>
        <family val="2"/>
        <charset val="161"/>
      </rPr>
      <t>ΚΧΙ,</t>
    </r>
    <r>
      <rPr>
        <sz val="10"/>
        <color indexed="43"/>
        <rFont val="Arial"/>
        <family val="2"/>
      </rPr>
      <t xml:space="preserve"> σε </t>
    </r>
    <r>
      <rPr>
        <b/>
        <sz val="10"/>
        <color indexed="52"/>
        <rFont val="Arial"/>
        <family val="2"/>
        <charset val="161"/>
      </rPr>
      <t>mol/L,</t>
    </r>
    <r>
      <rPr>
        <sz val="10"/>
        <color indexed="43"/>
        <rFont val="Arial"/>
        <family val="2"/>
      </rPr>
      <t xml:space="preserve"> ισούται με:</t>
    </r>
  </si>
  <si>
    <r>
      <t xml:space="preserve">Η συγκέντρωση του </t>
    </r>
    <r>
      <rPr>
        <b/>
        <sz val="10"/>
        <color indexed="52"/>
        <rFont val="Arial"/>
        <family val="2"/>
        <charset val="161"/>
      </rPr>
      <t>CO</t>
    </r>
    <r>
      <rPr>
        <b/>
        <vertAlign val="subscript"/>
        <sz val="10"/>
        <color indexed="52"/>
        <rFont val="Arial"/>
        <family val="2"/>
        <charset val="161"/>
      </rPr>
      <t>(g)</t>
    </r>
    <r>
      <rPr>
        <sz val="10"/>
        <color indexed="43"/>
        <rFont val="Arial"/>
        <family val="2"/>
      </rPr>
      <t xml:space="preserve"> στην </t>
    </r>
    <r>
      <rPr>
        <b/>
        <sz val="10"/>
        <color indexed="52"/>
        <rFont val="Arial"/>
        <family val="2"/>
        <charset val="161"/>
      </rPr>
      <t>ΚΧΙ,</t>
    </r>
    <r>
      <rPr>
        <sz val="10"/>
        <color indexed="43"/>
        <rFont val="Arial"/>
        <family val="2"/>
      </rPr>
      <t xml:space="preserve"> σε </t>
    </r>
    <r>
      <rPr>
        <b/>
        <sz val="10"/>
        <color indexed="52"/>
        <rFont val="Arial"/>
        <family val="2"/>
        <charset val="161"/>
      </rPr>
      <t>mol/L,</t>
    </r>
    <r>
      <rPr>
        <sz val="10"/>
        <color indexed="43"/>
        <rFont val="Arial"/>
        <family val="2"/>
      </rPr>
      <t xml:space="preserve"> ισούται με:</t>
    </r>
  </si>
  <si>
    <r>
      <t xml:space="preserve">Η ποσότητα του </t>
    </r>
    <r>
      <rPr>
        <b/>
        <sz val="10"/>
        <color indexed="52"/>
        <rFont val="Arial"/>
        <family val="2"/>
        <charset val="161"/>
      </rPr>
      <t>CO</t>
    </r>
    <r>
      <rPr>
        <b/>
        <vertAlign val="subscript"/>
        <sz val="10"/>
        <color indexed="52"/>
        <rFont val="Arial"/>
        <family val="2"/>
        <charset val="161"/>
      </rPr>
      <t>2(g)</t>
    </r>
    <r>
      <rPr>
        <sz val="10"/>
        <color indexed="43"/>
        <rFont val="Arial"/>
        <family val="2"/>
      </rPr>
      <t xml:space="preserve"> στην </t>
    </r>
    <r>
      <rPr>
        <b/>
        <sz val="10"/>
        <color indexed="52"/>
        <rFont val="Arial"/>
        <family val="2"/>
        <charset val="161"/>
      </rPr>
      <t>ΚΧΙ,</t>
    </r>
    <r>
      <rPr>
        <sz val="10"/>
        <color indexed="43"/>
        <rFont val="Arial"/>
        <family val="2"/>
      </rPr>
      <t xml:space="preserve"> σε </t>
    </r>
    <r>
      <rPr>
        <b/>
        <sz val="10"/>
        <color indexed="52"/>
        <rFont val="Arial"/>
        <family val="2"/>
        <charset val="161"/>
      </rPr>
      <t>mol,</t>
    </r>
    <r>
      <rPr>
        <sz val="10"/>
        <color indexed="43"/>
        <rFont val="Arial"/>
        <family val="2"/>
      </rPr>
      <t xml:space="preserve"> ισούται με:</t>
    </r>
  </si>
  <si>
    <r>
      <t xml:space="preserve">Η ποσότητα του </t>
    </r>
    <r>
      <rPr>
        <b/>
        <sz val="10"/>
        <color indexed="52"/>
        <rFont val="Arial"/>
        <family val="2"/>
        <charset val="161"/>
      </rPr>
      <t>CO</t>
    </r>
    <r>
      <rPr>
        <b/>
        <vertAlign val="subscript"/>
        <sz val="10"/>
        <color indexed="52"/>
        <rFont val="Arial"/>
        <family val="2"/>
        <charset val="161"/>
      </rPr>
      <t>(g)</t>
    </r>
    <r>
      <rPr>
        <sz val="10"/>
        <color indexed="43"/>
        <rFont val="Arial"/>
        <family val="2"/>
      </rPr>
      <t xml:space="preserve"> στην </t>
    </r>
    <r>
      <rPr>
        <b/>
        <sz val="10"/>
        <color indexed="52"/>
        <rFont val="Arial"/>
        <family val="2"/>
        <charset val="161"/>
      </rPr>
      <t>ΚΧΙ,</t>
    </r>
    <r>
      <rPr>
        <sz val="10"/>
        <color indexed="43"/>
        <rFont val="Arial"/>
        <family val="2"/>
      </rPr>
      <t xml:space="preserve"> σε </t>
    </r>
    <r>
      <rPr>
        <b/>
        <sz val="10"/>
        <color indexed="52"/>
        <rFont val="Arial"/>
        <family val="2"/>
        <charset val="161"/>
      </rPr>
      <t>mol,</t>
    </r>
    <r>
      <rPr>
        <sz val="10"/>
        <color indexed="43"/>
        <rFont val="Arial"/>
        <family val="2"/>
      </rPr>
      <t xml:space="preserve"> ισούται με:</t>
    </r>
  </si>
  <si>
    <r>
      <t xml:space="preserve">Η ποσότητα του </t>
    </r>
    <r>
      <rPr>
        <b/>
        <sz val="10"/>
        <color indexed="52"/>
        <rFont val="Arial"/>
        <family val="2"/>
        <charset val="161"/>
      </rPr>
      <t>CaCO</t>
    </r>
    <r>
      <rPr>
        <b/>
        <vertAlign val="subscript"/>
        <sz val="10"/>
        <color indexed="52"/>
        <rFont val="Arial"/>
        <family val="2"/>
        <charset val="161"/>
      </rPr>
      <t>3(s)</t>
    </r>
    <r>
      <rPr>
        <sz val="10"/>
        <color indexed="43"/>
        <rFont val="Arial"/>
        <family val="2"/>
      </rPr>
      <t xml:space="preserve"> στην </t>
    </r>
    <r>
      <rPr>
        <b/>
        <sz val="10"/>
        <color indexed="52"/>
        <rFont val="Arial"/>
        <family val="2"/>
        <charset val="161"/>
      </rPr>
      <t>ΚΧΙ,</t>
    </r>
    <r>
      <rPr>
        <sz val="10"/>
        <color indexed="43"/>
        <rFont val="Arial"/>
        <family val="2"/>
      </rPr>
      <t xml:space="preserve"> σε </t>
    </r>
    <r>
      <rPr>
        <b/>
        <sz val="10"/>
        <color indexed="52"/>
        <rFont val="Arial"/>
        <family val="2"/>
        <charset val="161"/>
      </rPr>
      <t>mol,</t>
    </r>
    <r>
      <rPr>
        <sz val="10"/>
        <color indexed="43"/>
        <rFont val="Arial"/>
        <family val="2"/>
      </rPr>
      <t xml:space="preserve"> ισούται με:</t>
    </r>
  </si>
  <si>
    <r>
      <t xml:space="preserve">Η ποσότητα του </t>
    </r>
    <r>
      <rPr>
        <b/>
        <sz val="10"/>
        <color indexed="52"/>
        <rFont val="Arial"/>
        <family val="2"/>
        <charset val="161"/>
      </rPr>
      <t>CaO</t>
    </r>
    <r>
      <rPr>
        <b/>
        <vertAlign val="subscript"/>
        <sz val="10"/>
        <color indexed="52"/>
        <rFont val="Arial"/>
        <family val="2"/>
        <charset val="161"/>
      </rPr>
      <t>(s)</t>
    </r>
    <r>
      <rPr>
        <sz val="10"/>
        <color indexed="43"/>
        <rFont val="Arial"/>
        <family val="2"/>
      </rPr>
      <t xml:space="preserve"> στην </t>
    </r>
    <r>
      <rPr>
        <b/>
        <sz val="10"/>
        <color indexed="52"/>
        <rFont val="Arial"/>
        <family val="2"/>
        <charset val="161"/>
      </rPr>
      <t>ΚΧΙ,</t>
    </r>
    <r>
      <rPr>
        <sz val="10"/>
        <color indexed="43"/>
        <rFont val="Arial"/>
        <family val="2"/>
      </rPr>
      <t xml:space="preserve"> σε </t>
    </r>
    <r>
      <rPr>
        <b/>
        <sz val="10"/>
        <color indexed="52"/>
        <rFont val="Arial"/>
        <family val="2"/>
        <charset val="161"/>
      </rPr>
      <t>mol,</t>
    </r>
    <r>
      <rPr>
        <sz val="10"/>
        <color indexed="43"/>
        <rFont val="Arial"/>
        <family val="2"/>
      </rPr>
      <t xml:space="preserve"> ισούται με:</t>
    </r>
  </si>
  <si>
    <r>
      <t xml:space="preserve">Η ποσότητα του </t>
    </r>
    <r>
      <rPr>
        <b/>
        <sz val="10"/>
        <color indexed="52"/>
        <rFont val="Arial"/>
        <family val="2"/>
        <charset val="161"/>
      </rPr>
      <t>C</t>
    </r>
    <r>
      <rPr>
        <b/>
        <vertAlign val="subscript"/>
        <sz val="10"/>
        <color indexed="52"/>
        <rFont val="Arial"/>
        <family val="2"/>
        <charset val="161"/>
      </rPr>
      <t>(s)</t>
    </r>
    <r>
      <rPr>
        <sz val="10"/>
        <color indexed="43"/>
        <rFont val="Arial"/>
        <family val="2"/>
      </rPr>
      <t xml:space="preserve"> στην </t>
    </r>
    <r>
      <rPr>
        <b/>
        <sz val="10"/>
        <color indexed="52"/>
        <rFont val="Arial"/>
        <family val="2"/>
        <charset val="161"/>
      </rPr>
      <t>ΚΧΙ,</t>
    </r>
    <r>
      <rPr>
        <sz val="10"/>
        <color indexed="43"/>
        <rFont val="Arial"/>
        <family val="2"/>
      </rPr>
      <t xml:space="preserve"> σε </t>
    </r>
    <r>
      <rPr>
        <b/>
        <sz val="10"/>
        <color indexed="52"/>
        <rFont val="Arial"/>
        <family val="2"/>
        <charset val="161"/>
      </rPr>
      <t>mol,</t>
    </r>
    <r>
      <rPr>
        <sz val="10"/>
        <color indexed="43"/>
        <rFont val="Arial"/>
        <family val="2"/>
      </rPr>
      <t xml:space="preserve"> ισούται με:</t>
    </r>
  </si>
  <si>
    <r>
      <t xml:space="preserve">Σε κλειστό κενό δοχείο όγκου </t>
    </r>
    <r>
      <rPr>
        <b/>
        <sz val="10"/>
        <color indexed="52"/>
        <rFont val="Arial"/>
        <family val="2"/>
        <charset val="161"/>
      </rPr>
      <t>V=3L</t>
    </r>
    <r>
      <rPr>
        <sz val="10"/>
        <color indexed="43"/>
        <rFont val="Arial"/>
        <family val="2"/>
        <charset val="161"/>
      </rPr>
      <t xml:space="preserve"> εισάγουμε αέριο μίγμα που αποτελείται από </t>
    </r>
    <r>
      <rPr>
        <b/>
        <sz val="10"/>
        <color indexed="52"/>
        <rFont val="Arial"/>
        <family val="2"/>
        <charset val="161"/>
      </rPr>
      <t>6mol COCl</t>
    </r>
    <r>
      <rPr>
        <b/>
        <vertAlign val="subscript"/>
        <sz val="10"/>
        <color indexed="52"/>
        <rFont val="Arial"/>
        <family val="2"/>
        <charset val="161"/>
      </rPr>
      <t>2(g)</t>
    </r>
    <r>
      <rPr>
        <sz val="10"/>
        <color indexed="43"/>
        <rFont val="Arial"/>
        <family val="2"/>
        <charset val="161"/>
      </rPr>
      <t xml:space="preserve"> και </t>
    </r>
    <r>
      <rPr>
        <b/>
        <sz val="10"/>
        <color indexed="52"/>
        <rFont val="Arial"/>
        <family val="2"/>
        <charset val="161"/>
      </rPr>
      <t>6mol PCl</t>
    </r>
    <r>
      <rPr>
        <b/>
        <vertAlign val="subscript"/>
        <sz val="10"/>
        <color indexed="52"/>
        <rFont val="Arial"/>
        <family val="2"/>
        <charset val="161"/>
      </rPr>
      <t>5(g)</t>
    </r>
    <r>
      <rPr>
        <b/>
        <sz val="10"/>
        <color indexed="52"/>
        <rFont val="Arial"/>
        <family val="2"/>
        <charset val="161"/>
      </rPr>
      <t>.</t>
    </r>
    <r>
      <rPr>
        <sz val="10"/>
        <color indexed="43"/>
        <rFont val="Arial"/>
        <family val="2"/>
        <charset val="161"/>
      </rPr>
      <t xml:space="preserve"> Ανεβάζοντας και διατηρώντας σταθερή τη θερμοκρασία στους </t>
    </r>
    <r>
      <rPr>
        <b/>
        <sz val="10"/>
        <color indexed="52"/>
        <rFont val="Arial"/>
        <family val="2"/>
        <charset val="161"/>
      </rPr>
      <t>θ°C,</t>
    </r>
    <r>
      <rPr>
        <sz val="10"/>
        <color indexed="43"/>
        <rFont val="Arial"/>
        <family val="2"/>
        <charset val="161"/>
      </rPr>
      <t xml:space="preserve"> προκαλούμε τη μερική διάσπαση και των δύο αε- ρίων ενώσεων, με τελικό αποτέλεσμα να αποκατασταθεί </t>
    </r>
    <r>
      <rPr>
        <b/>
        <sz val="10"/>
        <color indexed="52"/>
        <rFont val="Arial"/>
        <family val="2"/>
        <charset val="161"/>
      </rPr>
      <t>ΧΙ</t>
    </r>
    <r>
      <rPr>
        <sz val="10"/>
        <color indexed="43"/>
        <rFont val="Arial"/>
        <family val="2"/>
        <charset val="161"/>
      </rPr>
      <t xml:space="preserve"> κατά τις ακόλου- θες χημικές εξισώσεις, που συνοδεύονται η κάθε μια από την αντίστοιχη συνη- θισμένη κατάστρωση, στην οποία περιγράφεται η πορεία κάθε αντίδρασης, α- πό την αρχική κατάσταση, μέχρι το σημείο αποκατάστασης ΧΙ: </t>
    </r>
  </si>
  <si>
    <r>
      <t>PCl</t>
    </r>
    <r>
      <rPr>
        <b/>
        <vertAlign val="subscript"/>
        <sz val="10"/>
        <color indexed="52"/>
        <rFont val="Arial"/>
        <family val="2"/>
      </rPr>
      <t>3</t>
    </r>
    <r>
      <rPr>
        <b/>
        <sz val="10"/>
        <color indexed="52"/>
        <rFont val="Arial"/>
        <family val="2"/>
      </rPr>
      <t>: γ</t>
    </r>
    <r>
      <rPr>
        <b/>
        <vertAlign val="subscript"/>
        <sz val="10"/>
        <color indexed="52"/>
        <rFont val="Arial"/>
        <family val="2"/>
      </rPr>
      <t>22</t>
    </r>
    <r>
      <rPr>
        <b/>
        <sz val="10"/>
        <color indexed="52"/>
        <rFont val="Arial"/>
        <family val="2"/>
      </rPr>
      <t>=2/15</t>
    </r>
  </si>
  <si>
    <r>
      <t>CO: γ</t>
    </r>
    <r>
      <rPr>
        <b/>
        <vertAlign val="subscript"/>
        <sz val="10"/>
        <color indexed="52"/>
        <rFont val="Arial"/>
        <family val="2"/>
      </rPr>
      <t>12</t>
    </r>
    <r>
      <rPr>
        <b/>
        <sz val="10"/>
        <color indexed="52"/>
        <rFont val="Arial"/>
        <family val="2"/>
      </rPr>
      <t>=1/15</t>
    </r>
  </si>
  <si>
    <r>
      <t xml:space="preserve">Όπως φαίνεται και από τις παραπάνω καταστρώσεις, στην </t>
    </r>
    <r>
      <rPr>
        <b/>
        <sz val="10"/>
        <color indexed="52"/>
        <rFont val="Arial"/>
        <family val="2"/>
        <charset val="161"/>
      </rPr>
      <t>ΚΧΙ,</t>
    </r>
    <r>
      <rPr>
        <sz val="10"/>
        <color indexed="43"/>
        <rFont val="Arial"/>
        <family val="2"/>
      </rPr>
      <t xml:space="preserve"> για το </t>
    </r>
    <r>
      <rPr>
        <b/>
        <sz val="10"/>
        <color indexed="52"/>
        <rFont val="Arial"/>
        <family val="2"/>
        <charset val="161"/>
      </rPr>
      <t>μοριακό κλάσμα</t>
    </r>
    <r>
      <rPr>
        <sz val="10"/>
        <color indexed="43"/>
        <rFont val="Arial"/>
        <family val="2"/>
      </rPr>
      <t xml:space="preserve"> του </t>
    </r>
    <r>
      <rPr>
        <b/>
        <sz val="10"/>
        <color indexed="52"/>
        <rFont val="Arial"/>
        <family val="2"/>
        <charset val="161"/>
      </rPr>
      <t>CO</t>
    </r>
    <r>
      <rPr>
        <b/>
        <vertAlign val="subscript"/>
        <sz val="10"/>
        <color indexed="52"/>
        <rFont val="Arial"/>
        <family val="2"/>
        <charset val="161"/>
      </rPr>
      <t>(g)</t>
    </r>
    <r>
      <rPr>
        <b/>
        <sz val="10"/>
        <color indexed="52"/>
        <rFont val="Arial"/>
        <family val="2"/>
        <charset val="161"/>
      </rPr>
      <t>,</t>
    </r>
    <r>
      <rPr>
        <b/>
        <sz val="10"/>
        <color indexed="43"/>
        <rFont val="Arial"/>
        <family val="2"/>
      </rPr>
      <t xml:space="preserve"> </t>
    </r>
    <r>
      <rPr>
        <b/>
        <sz val="10"/>
        <color indexed="10"/>
        <rFont val="Arial"/>
        <family val="2"/>
        <charset val="161"/>
      </rPr>
      <t>γ</t>
    </r>
    <r>
      <rPr>
        <b/>
        <vertAlign val="subscript"/>
        <sz val="10"/>
        <color indexed="10"/>
        <rFont val="Arial"/>
        <family val="2"/>
        <charset val="161"/>
      </rPr>
      <t>12</t>
    </r>
    <r>
      <rPr>
        <b/>
        <sz val="10"/>
        <color indexed="10"/>
        <rFont val="Arial"/>
        <family val="2"/>
        <charset val="161"/>
      </rPr>
      <t>,</t>
    </r>
    <r>
      <rPr>
        <sz val="10"/>
        <color indexed="43"/>
        <rFont val="Arial"/>
        <family val="2"/>
      </rPr>
      <t xml:space="preserve"> ισχύει ότι </t>
    </r>
    <r>
      <rPr>
        <b/>
        <sz val="10"/>
        <color indexed="52"/>
        <rFont val="Arial"/>
        <family val="2"/>
        <charset val="161"/>
      </rPr>
      <t>γ</t>
    </r>
    <r>
      <rPr>
        <b/>
        <vertAlign val="subscript"/>
        <sz val="10"/>
        <color indexed="52"/>
        <rFont val="Arial"/>
        <family val="2"/>
        <charset val="161"/>
      </rPr>
      <t>12</t>
    </r>
    <r>
      <rPr>
        <b/>
        <sz val="10"/>
        <color indexed="52"/>
        <rFont val="Arial"/>
        <family val="2"/>
        <charset val="161"/>
      </rPr>
      <t>=1/15,</t>
    </r>
    <r>
      <rPr>
        <sz val="10"/>
        <color indexed="43"/>
        <rFont val="Arial"/>
        <family val="2"/>
      </rPr>
      <t xml:space="preserve"> ενώ για το </t>
    </r>
    <r>
      <rPr>
        <b/>
        <sz val="10"/>
        <color indexed="52"/>
        <rFont val="Arial"/>
        <family val="2"/>
        <charset val="161"/>
      </rPr>
      <t>μοριακό κλάσμα</t>
    </r>
    <r>
      <rPr>
        <sz val="10"/>
        <color indexed="43"/>
        <rFont val="Arial"/>
        <family val="2"/>
      </rPr>
      <t xml:space="preserve"> του </t>
    </r>
    <r>
      <rPr>
        <b/>
        <sz val="10"/>
        <color indexed="52"/>
        <rFont val="Arial"/>
        <family val="2"/>
        <charset val="161"/>
      </rPr>
      <t>PCl</t>
    </r>
    <r>
      <rPr>
        <b/>
        <vertAlign val="subscript"/>
        <sz val="10"/>
        <color indexed="52"/>
        <rFont val="Arial"/>
        <family val="2"/>
        <charset val="161"/>
      </rPr>
      <t>3(g)</t>
    </r>
    <r>
      <rPr>
        <b/>
        <sz val="10"/>
        <color indexed="52"/>
        <rFont val="Arial"/>
        <family val="2"/>
        <charset val="161"/>
      </rPr>
      <t>,</t>
    </r>
    <r>
      <rPr>
        <b/>
        <sz val="10"/>
        <color indexed="43"/>
        <rFont val="Arial"/>
        <family val="2"/>
      </rPr>
      <t xml:space="preserve"> </t>
    </r>
    <r>
      <rPr>
        <b/>
        <sz val="10"/>
        <color indexed="10"/>
        <rFont val="Arial"/>
        <family val="2"/>
        <charset val="161"/>
      </rPr>
      <t>γ</t>
    </r>
    <r>
      <rPr>
        <b/>
        <vertAlign val="subscript"/>
        <sz val="10"/>
        <color indexed="10"/>
        <rFont val="Arial"/>
        <family val="2"/>
        <charset val="161"/>
      </rPr>
      <t>22</t>
    </r>
    <r>
      <rPr>
        <b/>
        <sz val="10"/>
        <color indexed="10"/>
        <rFont val="Arial"/>
        <family val="2"/>
        <charset val="161"/>
      </rPr>
      <t>,</t>
    </r>
    <r>
      <rPr>
        <sz val="10"/>
        <color indexed="43"/>
        <rFont val="Arial"/>
        <family val="2"/>
      </rPr>
      <t xml:space="preserve"> πάλι στην </t>
    </r>
    <r>
      <rPr>
        <b/>
        <sz val="10"/>
        <color indexed="52"/>
        <rFont val="Arial"/>
        <family val="2"/>
        <charset val="161"/>
      </rPr>
      <t>ΚΧΙ,</t>
    </r>
    <r>
      <rPr>
        <b/>
        <sz val="10"/>
        <color indexed="43"/>
        <rFont val="Arial"/>
        <family val="2"/>
      </rPr>
      <t xml:space="preserve"> </t>
    </r>
    <r>
      <rPr>
        <sz val="10"/>
        <color indexed="43"/>
        <rFont val="Arial"/>
        <family val="2"/>
      </rPr>
      <t xml:space="preserve">ισχύει ότι </t>
    </r>
    <r>
      <rPr>
        <b/>
        <sz val="10"/>
        <color indexed="52"/>
        <rFont val="Arial"/>
        <family val="2"/>
        <charset val="161"/>
      </rPr>
      <t>γ</t>
    </r>
    <r>
      <rPr>
        <b/>
        <vertAlign val="subscript"/>
        <sz val="10"/>
        <color indexed="52"/>
        <rFont val="Arial"/>
        <family val="2"/>
        <charset val="161"/>
      </rPr>
      <t>22</t>
    </r>
    <r>
      <rPr>
        <b/>
        <sz val="10"/>
        <color indexed="52"/>
        <rFont val="Arial"/>
        <family val="2"/>
        <charset val="161"/>
      </rPr>
      <t>=2/15.</t>
    </r>
    <r>
      <rPr>
        <sz val="10"/>
        <color indexed="43"/>
        <rFont val="Arial"/>
        <family val="2"/>
      </rPr>
      <t xml:space="preserve"> Με βάση όλα τα παραπάνω δεδομένα και αφού συμπλη- ρωθούν στον πίνακα τα κελιά, που έχουν πορτοκαλί χρώμα, να γί-νει το ίδιο και για τα ερωτήματα που ακολουθούν.  </t>
    </r>
  </si>
  <si>
    <r>
      <t xml:space="preserve">Η ποσότητα </t>
    </r>
    <r>
      <rPr>
        <b/>
        <sz val="10"/>
        <color indexed="52"/>
        <rFont val="Arial"/>
        <family val="2"/>
        <charset val="161"/>
      </rPr>
      <t>CO</t>
    </r>
    <r>
      <rPr>
        <b/>
        <vertAlign val="subscript"/>
        <sz val="10"/>
        <color indexed="52"/>
        <rFont val="Arial"/>
        <family val="2"/>
        <charset val="161"/>
      </rPr>
      <t>(g)</t>
    </r>
    <r>
      <rPr>
        <sz val="10"/>
        <color indexed="43"/>
        <rFont val="Arial"/>
        <family val="2"/>
      </rPr>
      <t xml:space="preserve"> που θα περιέχεται τελικά στο δοχεί- o, στην </t>
    </r>
    <r>
      <rPr>
        <b/>
        <sz val="10"/>
        <color indexed="52"/>
        <rFont val="Arial"/>
        <family val="2"/>
        <charset val="161"/>
      </rPr>
      <t>ΚΧΙ,</t>
    </r>
    <r>
      <rPr>
        <sz val="10"/>
        <color indexed="43"/>
        <rFont val="Arial"/>
        <family val="2"/>
      </rPr>
      <t xml:space="preserve"> εκφρασμένη σε </t>
    </r>
    <r>
      <rPr>
        <b/>
        <sz val="10"/>
        <color indexed="52"/>
        <rFont val="Arial"/>
        <family val="2"/>
        <charset val="161"/>
      </rPr>
      <t>mol</t>
    </r>
    <r>
      <rPr>
        <sz val="10"/>
        <color indexed="43"/>
        <rFont val="Arial"/>
        <family val="2"/>
      </rPr>
      <t xml:space="preserve"> θα ισούται με: </t>
    </r>
  </si>
  <si>
    <r>
      <t xml:space="preserve">Η ποσότητα </t>
    </r>
    <r>
      <rPr>
        <b/>
        <sz val="10"/>
        <color indexed="52"/>
        <rFont val="Arial"/>
        <family val="2"/>
        <charset val="161"/>
      </rPr>
      <t>PCl</t>
    </r>
    <r>
      <rPr>
        <b/>
        <vertAlign val="subscript"/>
        <sz val="10"/>
        <color indexed="52"/>
        <rFont val="Arial"/>
        <family val="2"/>
        <charset val="161"/>
      </rPr>
      <t>3(g)</t>
    </r>
    <r>
      <rPr>
        <sz val="10"/>
        <color indexed="43"/>
        <rFont val="Arial"/>
        <family val="2"/>
      </rPr>
      <t xml:space="preserve"> που θα περιέχεται τελικά στο δοχεί- o, στην </t>
    </r>
    <r>
      <rPr>
        <b/>
        <sz val="10"/>
        <color indexed="52"/>
        <rFont val="Arial"/>
        <family val="2"/>
        <charset val="161"/>
      </rPr>
      <t>ΚΧΙ,</t>
    </r>
    <r>
      <rPr>
        <sz val="10"/>
        <color indexed="43"/>
        <rFont val="Arial"/>
        <family val="2"/>
      </rPr>
      <t xml:space="preserve"> εκφρασμένη σε </t>
    </r>
    <r>
      <rPr>
        <b/>
        <sz val="10"/>
        <color indexed="52"/>
        <rFont val="Arial"/>
        <family val="2"/>
        <charset val="161"/>
      </rPr>
      <t>mol</t>
    </r>
    <r>
      <rPr>
        <sz val="10"/>
        <color indexed="43"/>
        <rFont val="Arial"/>
        <family val="2"/>
      </rPr>
      <t xml:space="preserve"> θα ισούται με: </t>
    </r>
  </si>
  <si>
    <r>
      <t xml:space="preserve">Η ποσότητα </t>
    </r>
    <r>
      <rPr>
        <b/>
        <sz val="10"/>
        <color indexed="52"/>
        <rFont val="Arial"/>
        <family val="2"/>
        <charset val="161"/>
      </rPr>
      <t>Cl</t>
    </r>
    <r>
      <rPr>
        <b/>
        <vertAlign val="subscript"/>
        <sz val="10"/>
        <color indexed="52"/>
        <rFont val="Arial"/>
        <family val="2"/>
        <charset val="161"/>
      </rPr>
      <t>2(g)</t>
    </r>
    <r>
      <rPr>
        <sz val="10"/>
        <color indexed="43"/>
        <rFont val="Arial"/>
        <family val="2"/>
      </rPr>
      <t xml:space="preserve"> που θα περιέχεται τελικά στο δοχεί- o, στην </t>
    </r>
    <r>
      <rPr>
        <b/>
        <sz val="10"/>
        <color indexed="52"/>
        <rFont val="Arial"/>
        <family val="2"/>
        <charset val="161"/>
      </rPr>
      <t>ΚΧΙ,</t>
    </r>
    <r>
      <rPr>
        <sz val="10"/>
        <color indexed="43"/>
        <rFont val="Arial"/>
        <family val="2"/>
      </rPr>
      <t xml:space="preserve"> εκφρασμένη σε </t>
    </r>
    <r>
      <rPr>
        <b/>
        <sz val="10"/>
        <color indexed="52"/>
        <rFont val="Arial"/>
        <family val="2"/>
        <charset val="161"/>
      </rPr>
      <t>mol</t>
    </r>
    <r>
      <rPr>
        <sz val="10"/>
        <color indexed="43"/>
        <rFont val="Arial"/>
        <family val="2"/>
      </rPr>
      <t xml:space="preserve"> θα ισούται με: </t>
    </r>
  </si>
  <si>
    <r>
      <t xml:space="preserve">Η τιμή της σταθεράς </t>
    </r>
    <r>
      <rPr>
        <b/>
        <sz val="10"/>
        <color indexed="52"/>
        <rFont val="Arial"/>
        <family val="2"/>
        <charset val="161"/>
      </rPr>
      <t>K</t>
    </r>
    <r>
      <rPr>
        <b/>
        <vertAlign val="subscript"/>
        <sz val="10"/>
        <color indexed="52"/>
        <rFont val="Arial"/>
        <family val="2"/>
        <charset val="161"/>
      </rPr>
      <t>C1</t>
    </r>
    <r>
      <rPr>
        <sz val="10"/>
        <color indexed="43"/>
        <rFont val="Arial"/>
        <family val="2"/>
      </rPr>
      <t xml:space="preserve"> για την πρώτη αντίδραση σε </t>
    </r>
    <r>
      <rPr>
        <b/>
        <sz val="10"/>
        <color indexed="52"/>
        <rFont val="Arial"/>
        <family val="2"/>
        <charset val="161"/>
      </rPr>
      <t>θ°C,</t>
    </r>
    <r>
      <rPr>
        <sz val="10"/>
        <color indexed="43"/>
        <rFont val="Arial"/>
        <family val="2"/>
      </rPr>
      <t xml:space="preserve"> είναι… </t>
    </r>
    <r>
      <rPr>
        <b/>
        <sz val="10"/>
        <color indexed="52"/>
        <rFont val="Arial"/>
        <family val="2"/>
        <charset val="161"/>
      </rPr>
      <t>(να μη γραφούν μονάδες για την K</t>
    </r>
    <r>
      <rPr>
        <b/>
        <vertAlign val="subscript"/>
        <sz val="10"/>
        <color indexed="52"/>
        <rFont val="Arial"/>
        <family val="2"/>
        <charset val="161"/>
      </rPr>
      <t>C1</t>
    </r>
    <r>
      <rPr>
        <b/>
        <sz val="10"/>
        <color indexed="52"/>
        <rFont val="Arial"/>
        <family val="2"/>
        <charset val="161"/>
      </rPr>
      <t>):</t>
    </r>
  </si>
  <si>
    <r>
      <t xml:space="preserve">Η τιμή της σταθεράς </t>
    </r>
    <r>
      <rPr>
        <b/>
        <sz val="10"/>
        <color indexed="52"/>
        <rFont val="Arial"/>
        <family val="2"/>
        <charset val="161"/>
      </rPr>
      <t>K</t>
    </r>
    <r>
      <rPr>
        <b/>
        <vertAlign val="subscript"/>
        <sz val="10"/>
        <color indexed="52"/>
        <rFont val="Arial"/>
        <family val="2"/>
        <charset val="161"/>
      </rPr>
      <t>C2</t>
    </r>
    <r>
      <rPr>
        <sz val="10"/>
        <color indexed="43"/>
        <rFont val="Arial"/>
        <family val="2"/>
      </rPr>
      <t xml:space="preserve"> για τη δεύτερη αντίδραση σε </t>
    </r>
    <r>
      <rPr>
        <b/>
        <sz val="10"/>
        <color indexed="52"/>
        <rFont val="Arial"/>
        <family val="2"/>
        <charset val="161"/>
      </rPr>
      <t>θ°C,</t>
    </r>
    <r>
      <rPr>
        <sz val="10"/>
        <color indexed="43"/>
        <rFont val="Arial"/>
        <family val="2"/>
      </rPr>
      <t xml:space="preserve"> είναι… </t>
    </r>
    <r>
      <rPr>
        <b/>
        <sz val="10"/>
        <color indexed="52"/>
        <rFont val="Arial"/>
        <family val="2"/>
        <charset val="161"/>
      </rPr>
      <t>(να μη γραφούν μονάδες για την K</t>
    </r>
    <r>
      <rPr>
        <b/>
        <vertAlign val="subscript"/>
        <sz val="10"/>
        <color indexed="52"/>
        <rFont val="Arial"/>
        <family val="2"/>
        <charset val="161"/>
      </rPr>
      <t>C2</t>
    </r>
    <r>
      <rPr>
        <b/>
        <sz val="10"/>
        <color indexed="52"/>
        <rFont val="Arial"/>
        <family val="2"/>
        <charset val="161"/>
      </rPr>
      <t>):</t>
    </r>
  </si>
  <si>
    <r>
      <t xml:space="preserve">Να εμφανιστεί η λύση του προβλήματος </t>
    </r>
    <r>
      <rPr>
        <b/>
        <sz val="9"/>
        <color indexed="52"/>
        <rFont val="Arial"/>
        <family val="2"/>
        <charset val="161"/>
      </rPr>
      <t>8γ;</t>
    </r>
  </si>
  <si>
    <r>
      <t xml:space="preserve">Να εμφανιστεί η λύση του προβλήματος </t>
    </r>
    <r>
      <rPr>
        <b/>
        <sz val="9"/>
        <color indexed="52"/>
        <rFont val="Arial"/>
        <family val="2"/>
        <charset val="161"/>
      </rPr>
      <t>8δ;</t>
    </r>
  </si>
  <si>
    <r>
      <t xml:space="preserve">Να εμφανιστεί η λύση του προβλήματος </t>
    </r>
    <r>
      <rPr>
        <b/>
        <sz val="9"/>
        <color indexed="52"/>
        <rFont val="Arial"/>
        <family val="2"/>
        <charset val="161"/>
      </rPr>
      <t>11γ;</t>
    </r>
  </si>
  <si>
    <r>
      <t xml:space="preserve">Να εμφανιστεί η λύση του προβλήματος </t>
    </r>
    <r>
      <rPr>
        <b/>
        <sz val="9"/>
        <color indexed="52"/>
        <rFont val="Arial"/>
        <family val="2"/>
        <charset val="161"/>
      </rPr>
      <t>11β;</t>
    </r>
  </si>
  <si>
    <r>
      <t xml:space="preserve">Να εμφανιστεί η λύση του προβλήματος </t>
    </r>
    <r>
      <rPr>
        <b/>
        <sz val="9"/>
        <color indexed="52"/>
        <rFont val="Arial"/>
        <family val="2"/>
        <charset val="161"/>
      </rPr>
      <t>10γ;</t>
    </r>
  </si>
  <si>
    <r>
      <t xml:space="preserve">Να εμφανιστεί η λύση του προβλήματος </t>
    </r>
    <r>
      <rPr>
        <b/>
        <sz val="9"/>
        <color indexed="52"/>
        <rFont val="Arial"/>
        <family val="2"/>
        <charset val="161"/>
      </rPr>
      <t>11α;</t>
    </r>
  </si>
  <si>
    <r>
      <t xml:space="preserve">Να εμφανιστεί η λύση του προβλήματος </t>
    </r>
    <r>
      <rPr>
        <b/>
        <sz val="9"/>
        <color indexed="52"/>
        <rFont val="Arial"/>
        <family val="2"/>
        <charset val="161"/>
      </rPr>
      <t>11δ;</t>
    </r>
  </si>
  <si>
    <r>
      <t xml:space="preserve">Καλή επιτυχία στις εξετάσεις  </t>
    </r>
    <r>
      <rPr>
        <b/>
        <sz val="16"/>
        <color indexed="43"/>
        <rFont val="Wingdings"/>
        <charset val="2"/>
      </rPr>
      <t>J</t>
    </r>
  </si>
  <si>
    <t>ΔΗ=–22kcal</t>
  </si>
  <si>
    <t>V: σταθερό</t>
  </si>
  <si>
    <t xml:space="preserve">     α</t>
  </si>
  <si>
    <t xml:space="preserve">        α</t>
  </si>
  <si>
    <t xml:space="preserve">      α</t>
  </si>
  <si>
    <t xml:space="preserve">  +</t>
  </si>
  <si>
    <t>αντιδρούν</t>
  </si>
  <si>
    <t>παράγονται</t>
  </si>
  <si>
    <t>τελικά</t>
  </si>
  <si>
    <t xml:space="preserve">   +</t>
  </si>
  <si>
    <t>10mol</t>
  </si>
  <si>
    <t xml:space="preserve">       5mol</t>
  </si>
  <si>
    <t xml:space="preserve">    5mol</t>
  </si>
  <si>
    <t>Προφανώς, σχεδόν αμέσως μετά την εισαγωγή των αερίων Α και Β στο χώρο της αντίδρασης, θα γίνονται και οι δυο αντιδράσεις.</t>
  </si>
  <si>
    <t xml:space="preserve">  ÞÞ</t>
  </si>
  <si>
    <r>
      <t>K</t>
    </r>
    <r>
      <rPr>
        <vertAlign val="subscript"/>
        <sz val="10"/>
        <color indexed="43"/>
        <rFont val="Arial"/>
        <family val="2"/>
      </rPr>
      <t>C</t>
    </r>
    <r>
      <rPr>
        <sz val="10"/>
        <color indexed="43"/>
        <rFont val="Arial"/>
        <family val="2"/>
      </rPr>
      <t>=[NH</t>
    </r>
    <r>
      <rPr>
        <vertAlign val="subscript"/>
        <sz val="10"/>
        <color indexed="43"/>
        <rFont val="Arial"/>
        <family val="2"/>
      </rPr>
      <t>3</t>
    </r>
    <r>
      <rPr>
        <sz val="10"/>
        <color indexed="43"/>
        <rFont val="Arial"/>
        <family val="2"/>
      </rPr>
      <t>]</t>
    </r>
    <r>
      <rPr>
        <vertAlign val="superscript"/>
        <sz val="10"/>
        <color indexed="43"/>
        <rFont val="Arial"/>
        <family val="2"/>
      </rPr>
      <t>2</t>
    </r>
    <r>
      <rPr>
        <sz val="10"/>
        <color indexed="43"/>
        <rFont val="Arial"/>
        <family val="2"/>
      </rPr>
      <t>/([N</t>
    </r>
    <r>
      <rPr>
        <vertAlign val="subscript"/>
        <sz val="10"/>
        <color indexed="43"/>
        <rFont val="Arial"/>
        <family val="2"/>
      </rPr>
      <t>2</t>
    </r>
    <r>
      <rPr>
        <sz val="10"/>
        <color indexed="43"/>
        <rFont val="Arial"/>
        <family val="2"/>
      </rPr>
      <t>]+[H</t>
    </r>
    <r>
      <rPr>
        <vertAlign val="subscript"/>
        <sz val="10"/>
        <color indexed="43"/>
        <rFont val="Arial"/>
        <family val="2"/>
      </rPr>
      <t>2</t>
    </r>
    <r>
      <rPr>
        <sz val="10"/>
        <color indexed="43"/>
        <rFont val="Arial"/>
        <family val="2"/>
      </rPr>
      <t>]</t>
    </r>
    <r>
      <rPr>
        <vertAlign val="superscript"/>
        <sz val="10"/>
        <color indexed="43"/>
        <rFont val="Arial"/>
        <family val="2"/>
      </rPr>
      <t>3</t>
    </r>
    <r>
      <rPr>
        <sz val="10"/>
        <color indexed="43"/>
        <rFont val="Arial"/>
        <family val="2"/>
      </rPr>
      <t>)</t>
    </r>
  </si>
  <si>
    <r>
      <t>K</t>
    </r>
    <r>
      <rPr>
        <vertAlign val="subscript"/>
        <sz val="10"/>
        <color indexed="43"/>
        <rFont val="Arial"/>
        <family val="2"/>
      </rPr>
      <t>C</t>
    </r>
    <r>
      <rPr>
        <sz val="10"/>
        <color indexed="43"/>
        <rFont val="Arial"/>
        <family val="2"/>
        <charset val="161"/>
      </rPr>
      <t>=[NH</t>
    </r>
    <r>
      <rPr>
        <vertAlign val="subscript"/>
        <sz val="10"/>
        <color indexed="43"/>
        <rFont val="Arial"/>
        <family val="2"/>
      </rPr>
      <t>3</t>
    </r>
    <r>
      <rPr>
        <sz val="10"/>
        <color indexed="43"/>
        <rFont val="Arial"/>
        <family val="2"/>
        <charset val="161"/>
      </rPr>
      <t>]</t>
    </r>
    <r>
      <rPr>
        <vertAlign val="superscript"/>
        <sz val="10"/>
        <color indexed="43"/>
        <rFont val="Arial"/>
        <family val="2"/>
      </rPr>
      <t>2</t>
    </r>
    <r>
      <rPr>
        <sz val="10"/>
        <color indexed="43"/>
        <rFont val="Arial"/>
        <family val="2"/>
        <charset val="161"/>
      </rPr>
      <t>/([N</t>
    </r>
    <r>
      <rPr>
        <vertAlign val="subscript"/>
        <sz val="10"/>
        <color indexed="43"/>
        <rFont val="Arial"/>
        <family val="2"/>
      </rPr>
      <t>2</t>
    </r>
    <r>
      <rPr>
        <sz val="10"/>
        <color indexed="43"/>
        <rFont val="Arial"/>
        <family val="2"/>
        <charset val="161"/>
      </rPr>
      <t>]</t>
    </r>
    <r>
      <rPr>
        <sz val="8"/>
        <color indexed="43"/>
        <rFont val="Symbol"/>
        <family val="1"/>
        <charset val="2"/>
      </rPr>
      <t>·</t>
    </r>
    <r>
      <rPr>
        <sz val="10"/>
        <color indexed="43"/>
        <rFont val="Arial"/>
        <family val="2"/>
        <charset val="161"/>
      </rPr>
      <t>[H</t>
    </r>
    <r>
      <rPr>
        <vertAlign val="subscript"/>
        <sz val="10"/>
        <color indexed="43"/>
        <rFont val="Arial"/>
        <family val="2"/>
      </rPr>
      <t>2</t>
    </r>
    <r>
      <rPr>
        <sz val="10"/>
        <color indexed="43"/>
        <rFont val="Arial"/>
        <family val="2"/>
        <charset val="161"/>
      </rPr>
      <t>]</t>
    </r>
    <r>
      <rPr>
        <vertAlign val="superscript"/>
        <sz val="10"/>
        <color indexed="43"/>
        <rFont val="Arial"/>
        <family val="2"/>
      </rPr>
      <t>3</t>
    </r>
    <r>
      <rPr>
        <sz val="10"/>
        <color indexed="43"/>
        <rFont val="Arial"/>
        <family val="2"/>
        <charset val="161"/>
      </rPr>
      <t>)</t>
    </r>
  </si>
  <si>
    <r>
      <t>K</t>
    </r>
    <r>
      <rPr>
        <vertAlign val="subscript"/>
        <sz val="10"/>
        <color indexed="43"/>
        <rFont val="Arial"/>
        <family val="2"/>
      </rPr>
      <t>C</t>
    </r>
    <r>
      <rPr>
        <sz val="10"/>
        <color indexed="43"/>
        <rFont val="Arial"/>
        <family val="2"/>
        <charset val="161"/>
      </rPr>
      <t>=2[NH</t>
    </r>
    <r>
      <rPr>
        <vertAlign val="subscript"/>
        <sz val="10"/>
        <color indexed="43"/>
        <rFont val="Arial"/>
        <family val="2"/>
      </rPr>
      <t>3</t>
    </r>
    <r>
      <rPr>
        <sz val="10"/>
        <color indexed="43"/>
        <rFont val="Arial"/>
        <family val="2"/>
        <charset val="161"/>
      </rPr>
      <t>]/([N</t>
    </r>
    <r>
      <rPr>
        <vertAlign val="subscript"/>
        <sz val="10"/>
        <color indexed="43"/>
        <rFont val="Arial"/>
        <family val="2"/>
      </rPr>
      <t>2</t>
    </r>
    <r>
      <rPr>
        <sz val="10"/>
        <color indexed="43"/>
        <rFont val="Arial"/>
        <family val="2"/>
        <charset val="161"/>
      </rPr>
      <t>]</t>
    </r>
    <r>
      <rPr>
        <sz val="8"/>
        <color indexed="43"/>
        <rFont val="Symbol"/>
        <family val="1"/>
        <charset val="2"/>
      </rPr>
      <t>·</t>
    </r>
    <r>
      <rPr>
        <sz val="10"/>
        <color indexed="43"/>
        <rFont val="Arial"/>
        <family val="2"/>
      </rPr>
      <t>3</t>
    </r>
    <r>
      <rPr>
        <sz val="10"/>
        <color indexed="43"/>
        <rFont val="Arial"/>
        <family val="2"/>
        <charset val="161"/>
      </rPr>
      <t>[H</t>
    </r>
    <r>
      <rPr>
        <vertAlign val="subscript"/>
        <sz val="10"/>
        <color indexed="43"/>
        <rFont val="Arial"/>
        <family val="2"/>
      </rPr>
      <t>2</t>
    </r>
    <r>
      <rPr>
        <sz val="10"/>
        <color indexed="43"/>
        <rFont val="Arial"/>
        <family val="2"/>
        <charset val="161"/>
      </rPr>
      <t>])</t>
    </r>
  </si>
  <si>
    <r>
      <t>K</t>
    </r>
    <r>
      <rPr>
        <vertAlign val="subscript"/>
        <sz val="10"/>
        <color indexed="43"/>
        <rFont val="Arial"/>
        <family val="2"/>
      </rPr>
      <t>C</t>
    </r>
    <r>
      <rPr>
        <sz val="10"/>
        <color indexed="43"/>
        <rFont val="Arial"/>
        <family val="2"/>
        <charset val="161"/>
      </rPr>
      <t>=([N</t>
    </r>
    <r>
      <rPr>
        <vertAlign val="subscript"/>
        <sz val="10"/>
        <color indexed="43"/>
        <rFont val="Arial"/>
        <family val="2"/>
      </rPr>
      <t>2</t>
    </r>
    <r>
      <rPr>
        <sz val="10"/>
        <color indexed="43"/>
        <rFont val="Arial"/>
        <family val="2"/>
        <charset val="161"/>
      </rPr>
      <t>]</t>
    </r>
    <r>
      <rPr>
        <sz val="8"/>
        <color indexed="43"/>
        <rFont val="Symbol"/>
        <family val="1"/>
        <charset val="2"/>
      </rPr>
      <t>·</t>
    </r>
    <r>
      <rPr>
        <sz val="10"/>
        <color indexed="43"/>
        <rFont val="Arial"/>
        <family val="2"/>
        <charset val="161"/>
      </rPr>
      <t>[H</t>
    </r>
    <r>
      <rPr>
        <vertAlign val="subscript"/>
        <sz val="10"/>
        <color indexed="43"/>
        <rFont val="Arial"/>
        <family val="2"/>
      </rPr>
      <t>2</t>
    </r>
    <r>
      <rPr>
        <sz val="10"/>
        <color indexed="43"/>
        <rFont val="Arial"/>
        <family val="2"/>
        <charset val="161"/>
      </rPr>
      <t>]</t>
    </r>
    <r>
      <rPr>
        <vertAlign val="superscript"/>
        <sz val="10"/>
        <color indexed="43"/>
        <rFont val="Arial"/>
        <family val="2"/>
      </rPr>
      <t>3</t>
    </r>
    <r>
      <rPr>
        <sz val="10"/>
        <color indexed="43"/>
        <rFont val="Arial"/>
        <family val="2"/>
        <charset val="161"/>
      </rPr>
      <t>)/[NH</t>
    </r>
    <r>
      <rPr>
        <vertAlign val="subscript"/>
        <sz val="10"/>
        <color indexed="43"/>
        <rFont val="Arial"/>
        <family val="2"/>
      </rPr>
      <t>3</t>
    </r>
    <r>
      <rPr>
        <sz val="10"/>
        <color indexed="43"/>
        <rFont val="Arial"/>
        <family val="2"/>
        <charset val="161"/>
      </rPr>
      <t>]</t>
    </r>
    <r>
      <rPr>
        <vertAlign val="superscript"/>
        <sz val="10"/>
        <color indexed="43"/>
        <rFont val="Arial"/>
        <family val="2"/>
      </rPr>
      <t>2</t>
    </r>
  </si>
  <si>
    <r>
      <t>K</t>
    </r>
    <r>
      <rPr>
        <vertAlign val="subscript"/>
        <sz val="10"/>
        <color indexed="43"/>
        <rFont val="Arial"/>
        <family val="2"/>
      </rPr>
      <t>C</t>
    </r>
    <r>
      <rPr>
        <vertAlign val="superscript"/>
        <sz val="10"/>
        <color indexed="43"/>
        <rFont val="Arial"/>
        <family val="2"/>
      </rPr>
      <t>2</t>
    </r>
    <r>
      <rPr>
        <sz val="10"/>
        <color indexed="43"/>
        <rFont val="Arial"/>
        <family val="2"/>
        <charset val="161"/>
      </rPr>
      <t>=([N</t>
    </r>
    <r>
      <rPr>
        <vertAlign val="subscript"/>
        <sz val="10"/>
        <color indexed="43"/>
        <rFont val="Arial"/>
        <family val="2"/>
      </rPr>
      <t>2</t>
    </r>
    <r>
      <rPr>
        <sz val="10"/>
        <color indexed="43"/>
        <rFont val="Arial"/>
        <family val="2"/>
        <charset val="161"/>
      </rPr>
      <t>]</t>
    </r>
    <r>
      <rPr>
        <sz val="8"/>
        <color indexed="43"/>
        <rFont val="Symbol"/>
        <family val="1"/>
        <charset val="2"/>
      </rPr>
      <t>·</t>
    </r>
    <r>
      <rPr>
        <sz val="10"/>
        <color indexed="43"/>
        <rFont val="Arial"/>
        <family val="2"/>
        <charset val="161"/>
      </rPr>
      <t>[H</t>
    </r>
    <r>
      <rPr>
        <vertAlign val="subscript"/>
        <sz val="10"/>
        <color indexed="43"/>
        <rFont val="Arial"/>
        <family val="2"/>
      </rPr>
      <t>2</t>
    </r>
    <r>
      <rPr>
        <sz val="10"/>
        <color indexed="43"/>
        <rFont val="Arial"/>
        <family val="2"/>
        <charset val="161"/>
      </rPr>
      <t>]</t>
    </r>
    <r>
      <rPr>
        <vertAlign val="superscript"/>
        <sz val="10"/>
        <color indexed="43"/>
        <rFont val="Arial"/>
        <family val="2"/>
      </rPr>
      <t>3</t>
    </r>
    <r>
      <rPr>
        <sz val="10"/>
        <color indexed="43"/>
        <rFont val="Arial"/>
        <family val="2"/>
        <charset val="161"/>
      </rPr>
      <t>)/[NH</t>
    </r>
    <r>
      <rPr>
        <vertAlign val="subscript"/>
        <sz val="10"/>
        <color indexed="43"/>
        <rFont val="Arial"/>
        <family val="2"/>
      </rPr>
      <t>3</t>
    </r>
    <r>
      <rPr>
        <sz val="10"/>
        <color indexed="43"/>
        <rFont val="Arial"/>
        <family val="2"/>
        <charset val="161"/>
      </rPr>
      <t>]</t>
    </r>
    <r>
      <rPr>
        <vertAlign val="superscript"/>
        <sz val="10"/>
        <color indexed="43"/>
        <rFont val="Arial"/>
        <family val="2"/>
      </rPr>
      <t>2</t>
    </r>
  </si>
  <si>
    <r>
      <t>K</t>
    </r>
    <r>
      <rPr>
        <vertAlign val="subscript"/>
        <sz val="10"/>
        <color indexed="43"/>
        <rFont val="Arial"/>
        <family val="2"/>
      </rPr>
      <t>C</t>
    </r>
    <r>
      <rPr>
        <vertAlign val="superscript"/>
        <sz val="10"/>
        <color indexed="43"/>
        <rFont val="Arial"/>
        <family val="2"/>
      </rPr>
      <t>2</t>
    </r>
    <r>
      <rPr>
        <sz val="10"/>
        <color indexed="43"/>
        <rFont val="Arial"/>
        <family val="2"/>
        <charset val="161"/>
      </rPr>
      <t>=[NH</t>
    </r>
    <r>
      <rPr>
        <vertAlign val="subscript"/>
        <sz val="10"/>
        <color indexed="43"/>
        <rFont val="Arial"/>
        <family val="2"/>
      </rPr>
      <t>3</t>
    </r>
    <r>
      <rPr>
        <sz val="10"/>
        <color indexed="43"/>
        <rFont val="Arial"/>
        <family val="2"/>
        <charset val="161"/>
      </rPr>
      <t>]</t>
    </r>
    <r>
      <rPr>
        <vertAlign val="superscript"/>
        <sz val="10"/>
        <color indexed="43"/>
        <rFont val="Arial"/>
        <family val="2"/>
      </rPr>
      <t>2</t>
    </r>
    <r>
      <rPr>
        <sz val="10"/>
        <color indexed="43"/>
        <rFont val="Arial"/>
        <family val="2"/>
        <charset val="161"/>
      </rPr>
      <t>/([N</t>
    </r>
    <r>
      <rPr>
        <vertAlign val="subscript"/>
        <sz val="10"/>
        <color indexed="43"/>
        <rFont val="Arial"/>
        <family val="2"/>
      </rPr>
      <t>2</t>
    </r>
    <r>
      <rPr>
        <sz val="10"/>
        <color indexed="43"/>
        <rFont val="Arial"/>
        <family val="2"/>
        <charset val="161"/>
      </rPr>
      <t>]</t>
    </r>
    <r>
      <rPr>
        <sz val="8"/>
        <color indexed="43"/>
        <rFont val="Symbol"/>
        <family val="1"/>
        <charset val="2"/>
      </rPr>
      <t>·</t>
    </r>
    <r>
      <rPr>
        <sz val="10"/>
        <color indexed="43"/>
        <rFont val="Arial"/>
        <family val="2"/>
        <charset val="161"/>
      </rPr>
      <t>[H</t>
    </r>
    <r>
      <rPr>
        <vertAlign val="subscript"/>
        <sz val="10"/>
        <color indexed="43"/>
        <rFont val="Arial"/>
        <family val="2"/>
      </rPr>
      <t>2</t>
    </r>
    <r>
      <rPr>
        <sz val="10"/>
        <color indexed="43"/>
        <rFont val="Arial"/>
        <family val="2"/>
        <charset val="161"/>
      </rPr>
      <t>]</t>
    </r>
    <r>
      <rPr>
        <vertAlign val="superscript"/>
        <sz val="10"/>
        <color indexed="43"/>
        <rFont val="Arial"/>
        <family val="2"/>
      </rPr>
      <t>3</t>
    </r>
    <r>
      <rPr>
        <sz val="10"/>
        <color indexed="43"/>
        <rFont val="Arial"/>
        <family val="2"/>
        <charset val="161"/>
      </rPr>
      <t>)</t>
    </r>
  </si>
  <si>
    <r>
      <t>K</t>
    </r>
    <r>
      <rPr>
        <vertAlign val="subscript"/>
        <sz val="10"/>
        <color indexed="43"/>
        <rFont val="Arial"/>
        <family val="2"/>
      </rPr>
      <t>C</t>
    </r>
    <r>
      <rPr>
        <sz val="10"/>
        <color indexed="43"/>
        <rFont val="Arial"/>
        <family val="2"/>
        <charset val="161"/>
      </rPr>
      <t>=[CO]</t>
    </r>
    <r>
      <rPr>
        <vertAlign val="superscript"/>
        <sz val="10"/>
        <color indexed="43"/>
        <rFont val="Arial"/>
        <family val="2"/>
      </rPr>
      <t>2</t>
    </r>
    <r>
      <rPr>
        <sz val="10"/>
        <color indexed="43"/>
        <rFont val="Arial"/>
        <family val="2"/>
        <charset val="161"/>
      </rPr>
      <t>/([C]</t>
    </r>
    <r>
      <rPr>
        <sz val="8"/>
        <color indexed="43"/>
        <rFont val="Symbol"/>
        <family val="1"/>
        <charset val="2"/>
      </rPr>
      <t>·</t>
    </r>
    <r>
      <rPr>
        <sz val="10"/>
        <color indexed="43"/>
        <rFont val="Arial"/>
        <family val="2"/>
      </rPr>
      <t>[CO</t>
    </r>
    <r>
      <rPr>
        <vertAlign val="subscript"/>
        <sz val="10"/>
        <color indexed="43"/>
        <rFont val="Arial"/>
        <family val="2"/>
      </rPr>
      <t>2</t>
    </r>
    <r>
      <rPr>
        <sz val="10"/>
        <color indexed="43"/>
        <rFont val="Arial"/>
        <family val="2"/>
      </rPr>
      <t>])</t>
    </r>
  </si>
  <si>
    <r>
      <t>K</t>
    </r>
    <r>
      <rPr>
        <vertAlign val="subscript"/>
        <sz val="10"/>
        <color indexed="43"/>
        <rFont val="Arial"/>
        <family val="2"/>
      </rPr>
      <t>C</t>
    </r>
    <r>
      <rPr>
        <sz val="10"/>
        <color indexed="43"/>
        <rFont val="Arial"/>
        <family val="2"/>
      </rPr>
      <t>=[CO]</t>
    </r>
    <r>
      <rPr>
        <vertAlign val="superscript"/>
        <sz val="10"/>
        <color indexed="43"/>
        <rFont val="Arial"/>
        <family val="2"/>
      </rPr>
      <t>2</t>
    </r>
    <r>
      <rPr>
        <sz val="10"/>
        <color indexed="43"/>
        <rFont val="Arial"/>
        <family val="2"/>
      </rPr>
      <t>/([C]+[CO</t>
    </r>
    <r>
      <rPr>
        <vertAlign val="subscript"/>
        <sz val="10"/>
        <color indexed="43"/>
        <rFont val="Arial"/>
        <family val="2"/>
      </rPr>
      <t>2</t>
    </r>
    <r>
      <rPr>
        <sz val="10"/>
        <color indexed="43"/>
        <rFont val="Arial"/>
        <family val="2"/>
      </rPr>
      <t>])</t>
    </r>
  </si>
  <si>
    <r>
      <t>K</t>
    </r>
    <r>
      <rPr>
        <vertAlign val="subscript"/>
        <sz val="10"/>
        <color indexed="43"/>
        <rFont val="Arial"/>
        <family val="2"/>
      </rPr>
      <t>C</t>
    </r>
    <r>
      <rPr>
        <sz val="10"/>
        <color indexed="43"/>
        <rFont val="Arial"/>
        <family val="2"/>
      </rPr>
      <t>=[CO]</t>
    </r>
    <r>
      <rPr>
        <vertAlign val="superscript"/>
        <sz val="10"/>
        <color indexed="43"/>
        <rFont val="Arial"/>
        <family val="2"/>
      </rPr>
      <t>2</t>
    </r>
    <r>
      <rPr>
        <sz val="10"/>
        <color indexed="43"/>
        <rFont val="Arial"/>
        <family val="2"/>
      </rPr>
      <t>/[CO</t>
    </r>
    <r>
      <rPr>
        <vertAlign val="subscript"/>
        <sz val="10"/>
        <color indexed="43"/>
        <rFont val="Arial"/>
        <family val="2"/>
      </rPr>
      <t>2</t>
    </r>
    <r>
      <rPr>
        <sz val="10"/>
        <color indexed="43"/>
        <rFont val="Arial"/>
        <family val="2"/>
      </rPr>
      <t>]</t>
    </r>
  </si>
  <si>
    <r>
      <t>K</t>
    </r>
    <r>
      <rPr>
        <vertAlign val="subscript"/>
        <sz val="10"/>
        <color indexed="43"/>
        <rFont val="Arial"/>
        <family val="2"/>
      </rPr>
      <t>C</t>
    </r>
    <r>
      <rPr>
        <sz val="10"/>
        <color indexed="43"/>
        <rFont val="Arial"/>
        <family val="2"/>
      </rPr>
      <t>=2[CO]/[CO</t>
    </r>
    <r>
      <rPr>
        <vertAlign val="subscript"/>
        <sz val="10"/>
        <color indexed="43"/>
        <rFont val="Arial"/>
        <family val="2"/>
      </rPr>
      <t>2</t>
    </r>
    <r>
      <rPr>
        <sz val="10"/>
        <color indexed="43"/>
        <rFont val="Arial"/>
        <family val="2"/>
      </rPr>
      <t>]</t>
    </r>
  </si>
  <si>
    <r>
      <t>K</t>
    </r>
    <r>
      <rPr>
        <vertAlign val="subscript"/>
        <sz val="10"/>
        <color indexed="43"/>
        <rFont val="Arial"/>
        <family val="2"/>
      </rPr>
      <t>C</t>
    </r>
    <r>
      <rPr>
        <sz val="10"/>
        <color indexed="43"/>
        <rFont val="Arial"/>
        <family val="2"/>
        <charset val="161"/>
      </rPr>
      <t>=[CO</t>
    </r>
    <r>
      <rPr>
        <vertAlign val="subscript"/>
        <sz val="10"/>
        <color indexed="43"/>
        <rFont val="Arial"/>
        <family val="2"/>
      </rPr>
      <t>2</t>
    </r>
    <r>
      <rPr>
        <sz val="10"/>
        <color indexed="43"/>
        <rFont val="Arial"/>
        <family val="2"/>
        <charset val="161"/>
      </rPr>
      <t>]</t>
    </r>
  </si>
  <si>
    <r>
      <t>K</t>
    </r>
    <r>
      <rPr>
        <vertAlign val="subscript"/>
        <sz val="10"/>
        <color indexed="43"/>
        <rFont val="Arial"/>
        <family val="2"/>
      </rPr>
      <t>P</t>
    </r>
    <r>
      <rPr>
        <sz val="10"/>
        <color indexed="43"/>
        <rFont val="Arial"/>
        <family val="2"/>
        <charset val="161"/>
      </rPr>
      <t>=P</t>
    </r>
    <r>
      <rPr>
        <vertAlign val="subscript"/>
        <sz val="10"/>
        <color indexed="43"/>
        <rFont val="Arial"/>
        <family val="2"/>
      </rPr>
      <t>CO</t>
    </r>
    <r>
      <rPr>
        <vertAlign val="subscript"/>
        <sz val="8"/>
        <color indexed="43"/>
        <rFont val="Arial"/>
        <family val="2"/>
      </rPr>
      <t>2</t>
    </r>
  </si>
  <si>
    <r>
      <t>K</t>
    </r>
    <r>
      <rPr>
        <vertAlign val="subscript"/>
        <sz val="10"/>
        <color indexed="43"/>
        <rFont val="Arial"/>
        <family val="2"/>
      </rPr>
      <t>P</t>
    </r>
    <r>
      <rPr>
        <sz val="10"/>
        <color indexed="43"/>
        <rFont val="Arial"/>
        <family val="2"/>
        <charset val="161"/>
      </rPr>
      <t>=P</t>
    </r>
    <r>
      <rPr>
        <vertAlign val="subscript"/>
        <sz val="10"/>
        <color indexed="43"/>
        <rFont val="Arial"/>
        <family val="2"/>
      </rPr>
      <t>CO2</t>
    </r>
    <r>
      <rPr>
        <sz val="8"/>
        <color indexed="43"/>
        <rFont val="Symbol"/>
        <family val="1"/>
        <charset val="2"/>
      </rPr>
      <t>·</t>
    </r>
    <r>
      <rPr>
        <sz val="10"/>
        <color indexed="43"/>
        <rFont val="Arial"/>
        <family val="2"/>
      </rPr>
      <t>P</t>
    </r>
    <r>
      <rPr>
        <vertAlign val="subscript"/>
        <sz val="10"/>
        <color indexed="43"/>
        <rFont val="Arial"/>
        <family val="2"/>
      </rPr>
      <t>CaO</t>
    </r>
    <r>
      <rPr>
        <sz val="10"/>
        <color indexed="43"/>
        <rFont val="Arial"/>
        <family val="2"/>
      </rPr>
      <t>/P</t>
    </r>
    <r>
      <rPr>
        <vertAlign val="subscript"/>
        <sz val="10"/>
        <color indexed="43"/>
        <rFont val="Arial"/>
        <family val="2"/>
      </rPr>
      <t>CaCO3</t>
    </r>
  </si>
  <si>
    <r>
      <t>Η</t>
    </r>
    <r>
      <rPr>
        <b/>
        <vertAlign val="subscript"/>
        <sz val="11"/>
        <color indexed="43"/>
        <rFont val="Arial"/>
        <family val="2"/>
      </rPr>
      <t>2(g)</t>
    </r>
  </si>
  <si>
    <r>
      <t>Cl</t>
    </r>
    <r>
      <rPr>
        <b/>
        <vertAlign val="subscript"/>
        <sz val="11"/>
        <color indexed="43"/>
        <rFont val="Arial"/>
        <family val="2"/>
      </rPr>
      <t>2(g)</t>
    </r>
  </si>
  <si>
    <r>
      <t>O</t>
    </r>
    <r>
      <rPr>
        <b/>
        <vertAlign val="subscript"/>
        <sz val="11"/>
        <color indexed="43"/>
        <rFont val="Arial"/>
        <family val="2"/>
      </rPr>
      <t>2(g)</t>
    </r>
  </si>
  <si>
    <r>
      <t>N</t>
    </r>
    <r>
      <rPr>
        <b/>
        <vertAlign val="subscript"/>
        <sz val="11"/>
        <color indexed="43"/>
        <rFont val="Arial"/>
        <family val="2"/>
      </rPr>
      <t>2(g)</t>
    </r>
  </si>
  <si>
    <r>
      <t>COCl</t>
    </r>
    <r>
      <rPr>
        <b/>
        <vertAlign val="subscript"/>
        <sz val="11"/>
        <color indexed="43"/>
        <rFont val="Arial"/>
        <family val="2"/>
      </rPr>
      <t>2(g)</t>
    </r>
  </si>
  <si>
    <r>
      <t>CO</t>
    </r>
    <r>
      <rPr>
        <b/>
        <vertAlign val="subscript"/>
        <sz val="11"/>
        <color indexed="43"/>
        <rFont val="Arial"/>
        <family val="2"/>
      </rPr>
      <t>(g)</t>
    </r>
  </si>
  <si>
    <r>
      <t>3</t>
    </r>
    <r>
      <rPr>
        <b/>
        <sz val="11"/>
        <color indexed="43"/>
        <rFont val="Arial"/>
        <family val="2"/>
      </rPr>
      <t>H</t>
    </r>
    <r>
      <rPr>
        <b/>
        <vertAlign val="subscript"/>
        <sz val="11"/>
        <color indexed="43"/>
        <rFont val="Arial"/>
        <family val="2"/>
      </rPr>
      <t>2(g)</t>
    </r>
  </si>
  <si>
    <r>
      <t>2</t>
    </r>
    <r>
      <rPr>
        <b/>
        <sz val="11"/>
        <color indexed="43"/>
        <rFont val="Arial"/>
        <family val="2"/>
        <charset val="161"/>
      </rPr>
      <t>NH</t>
    </r>
    <r>
      <rPr>
        <b/>
        <vertAlign val="subscript"/>
        <sz val="11"/>
        <color indexed="43"/>
        <rFont val="Arial"/>
        <family val="2"/>
      </rPr>
      <t>3(g)</t>
    </r>
  </si>
  <si>
    <r>
      <t>Εισάγουμε</t>
    </r>
    <r>
      <rPr>
        <sz val="10"/>
        <color indexed="43"/>
        <rFont val="Arial"/>
        <family val="2"/>
      </rPr>
      <t xml:space="preserve"> στο δοχείο επί πλέον ποσότητα </t>
    </r>
    <r>
      <rPr>
        <b/>
        <sz val="10"/>
        <color indexed="52"/>
        <rFont val="Arial"/>
        <family val="2"/>
        <charset val="161"/>
      </rPr>
      <t>Ν</t>
    </r>
    <r>
      <rPr>
        <b/>
        <vertAlign val="subscript"/>
        <sz val="10"/>
        <color indexed="52"/>
        <rFont val="Arial"/>
        <family val="2"/>
        <charset val="161"/>
      </rPr>
      <t>2(g)</t>
    </r>
    <r>
      <rPr>
        <b/>
        <sz val="10"/>
        <color indexed="52"/>
        <rFont val="Arial"/>
        <family val="2"/>
        <charset val="161"/>
      </rPr>
      <t>.</t>
    </r>
  </si>
  <si>
    <r>
      <t>Αφαιρούμε</t>
    </r>
    <r>
      <rPr>
        <sz val="10"/>
        <color indexed="43"/>
        <rFont val="Arial"/>
        <family val="2"/>
      </rPr>
      <t xml:space="preserve"> από το δοχείο ορισμένη ποσότητα </t>
    </r>
    <r>
      <rPr>
        <b/>
        <sz val="10"/>
        <color indexed="52"/>
        <rFont val="Arial"/>
        <family val="2"/>
        <charset val="161"/>
      </rPr>
      <t>Η</t>
    </r>
    <r>
      <rPr>
        <b/>
        <vertAlign val="subscript"/>
        <sz val="10"/>
        <color indexed="52"/>
        <rFont val="Arial"/>
        <family val="2"/>
        <charset val="161"/>
      </rPr>
      <t>2(g)</t>
    </r>
    <r>
      <rPr>
        <b/>
        <sz val="10"/>
        <color indexed="52"/>
        <rFont val="Arial"/>
        <family val="2"/>
        <charset val="161"/>
      </rPr>
      <t>.</t>
    </r>
  </si>
  <si>
    <r>
      <t>Θερμαίνοντας</t>
    </r>
    <r>
      <rPr>
        <sz val="10"/>
        <color indexed="43"/>
        <rFont val="Arial"/>
        <family val="2"/>
      </rPr>
      <t xml:space="preserve"> πετυχαίνουμε </t>
    </r>
    <r>
      <rPr>
        <b/>
        <sz val="10"/>
        <color indexed="52"/>
        <rFont val="Arial"/>
        <family val="2"/>
        <charset val="161"/>
      </rPr>
      <t>αύξηση</t>
    </r>
    <r>
      <rPr>
        <sz val="10"/>
        <color indexed="43"/>
        <rFont val="Arial"/>
        <family val="2"/>
      </rPr>
      <t xml:space="preserve"> της θερμοκρασίας.</t>
    </r>
  </si>
  <si>
    <r>
      <t>Αυξάνοντας</t>
    </r>
    <r>
      <rPr>
        <sz val="10"/>
        <color indexed="43"/>
        <rFont val="Arial"/>
        <family val="2"/>
      </rPr>
      <t xml:space="preserve"> την πίεση, </t>
    </r>
    <r>
      <rPr>
        <b/>
        <sz val="10"/>
        <color indexed="52"/>
        <rFont val="Arial"/>
        <family val="2"/>
        <charset val="161"/>
      </rPr>
      <t>μειώνουμε</t>
    </r>
    <r>
      <rPr>
        <sz val="10"/>
        <color indexed="43"/>
        <rFont val="Arial"/>
        <family val="2"/>
      </rPr>
      <t xml:space="preserve"> τον όγκο του δοχείου.</t>
    </r>
  </si>
  <si>
    <r>
      <t xml:space="preserve">Εισάγουμε στο δοχείο </t>
    </r>
    <r>
      <rPr>
        <b/>
        <sz val="10"/>
        <color indexed="52"/>
        <rFont val="Arial"/>
        <family val="2"/>
        <charset val="161"/>
      </rPr>
      <t>αδρανές</t>
    </r>
    <r>
      <rPr>
        <sz val="10"/>
        <color indexed="43"/>
        <rFont val="Arial"/>
        <family val="2"/>
      </rPr>
      <t xml:space="preserve"> αέριο, προκαλώντας έτσι </t>
    </r>
    <r>
      <rPr>
        <b/>
        <sz val="10"/>
        <color indexed="52"/>
        <rFont val="Arial"/>
        <family val="2"/>
        <charset val="161"/>
      </rPr>
      <t>αύξηση</t>
    </r>
    <r>
      <rPr>
        <sz val="10"/>
        <color indexed="43"/>
        <rFont val="Arial"/>
        <family val="2"/>
      </rPr>
      <t xml:space="preserve"> της ολικής πίεσης, φροντίζοντας όμως να </t>
    </r>
    <r>
      <rPr>
        <b/>
        <sz val="10"/>
        <color indexed="52"/>
        <rFont val="Arial"/>
        <family val="2"/>
        <charset val="161"/>
      </rPr>
      <t>μη μεταβληθεί</t>
    </r>
    <r>
      <rPr>
        <b/>
        <sz val="10"/>
        <color indexed="43"/>
        <rFont val="Arial"/>
        <family val="2"/>
      </rPr>
      <t xml:space="preserve"> ο όγκος</t>
    </r>
    <r>
      <rPr>
        <sz val="10"/>
        <color indexed="43"/>
        <rFont val="Arial"/>
        <family val="2"/>
      </rPr>
      <t xml:space="preserve"> του δοχείου.</t>
    </r>
  </si>
  <si>
    <r>
      <t>Αφαιρούμε</t>
    </r>
    <r>
      <rPr>
        <sz val="10"/>
        <color indexed="43"/>
        <rFont val="Arial"/>
        <family val="2"/>
      </rPr>
      <t xml:space="preserve"> από το δοχείο ορισμένη ποσότητα </t>
    </r>
    <r>
      <rPr>
        <b/>
        <sz val="10"/>
        <color indexed="52"/>
        <rFont val="Arial"/>
        <family val="2"/>
        <charset val="161"/>
      </rPr>
      <t>I</t>
    </r>
    <r>
      <rPr>
        <b/>
        <vertAlign val="subscript"/>
        <sz val="10"/>
        <color indexed="52"/>
        <rFont val="Arial"/>
        <family val="2"/>
        <charset val="161"/>
      </rPr>
      <t>2(g)</t>
    </r>
    <r>
      <rPr>
        <b/>
        <sz val="10"/>
        <color indexed="52"/>
        <rFont val="Arial"/>
        <family val="2"/>
        <charset val="161"/>
      </rPr>
      <t>.</t>
    </r>
  </si>
  <si>
    <r>
      <t xml:space="preserve">Ψύχοντας πετυχαίνουμε </t>
    </r>
    <r>
      <rPr>
        <b/>
        <sz val="10"/>
        <color indexed="52"/>
        <rFont val="Arial"/>
        <family val="2"/>
        <charset val="161"/>
      </rPr>
      <t>μείωση</t>
    </r>
    <r>
      <rPr>
        <sz val="10"/>
        <color indexed="43"/>
        <rFont val="Arial"/>
        <family val="2"/>
      </rPr>
      <t xml:space="preserve"> της θερμοκρασίας.</t>
    </r>
  </si>
  <si>
    <r>
      <t xml:space="preserve">Εισάγουμε στο δοχείο </t>
    </r>
    <r>
      <rPr>
        <b/>
        <sz val="10"/>
        <color indexed="52"/>
        <rFont val="Arial"/>
        <family val="2"/>
        <charset val="161"/>
      </rPr>
      <t>αδρανές</t>
    </r>
    <r>
      <rPr>
        <sz val="10"/>
        <color indexed="43"/>
        <rFont val="Arial"/>
        <family val="2"/>
      </rPr>
      <t xml:space="preserve"> αέριο, προκαλώντας έτσι </t>
    </r>
    <r>
      <rPr>
        <b/>
        <sz val="10"/>
        <color indexed="52"/>
        <rFont val="Arial"/>
        <family val="2"/>
        <charset val="161"/>
      </rPr>
      <t>αύξηση</t>
    </r>
    <r>
      <rPr>
        <sz val="10"/>
        <color indexed="43"/>
        <rFont val="Arial"/>
        <family val="2"/>
      </rPr>
      <t xml:space="preserve"> της ολικής πίεσης, φροντίζοντας όμως να </t>
    </r>
    <r>
      <rPr>
        <b/>
        <sz val="10"/>
        <color indexed="52"/>
        <rFont val="Arial"/>
        <family val="2"/>
        <charset val="161"/>
      </rPr>
      <t>μη μεταβληθεί ο όγκος</t>
    </r>
    <r>
      <rPr>
        <sz val="10"/>
        <color indexed="52"/>
        <rFont val="Arial"/>
        <family val="2"/>
        <charset val="161"/>
      </rPr>
      <t xml:space="preserve"> </t>
    </r>
    <r>
      <rPr>
        <sz val="10"/>
        <color indexed="43"/>
        <rFont val="Arial"/>
        <family val="2"/>
      </rPr>
      <t>του δοχείου.</t>
    </r>
  </si>
  <si>
    <r>
      <t>Εισάγουμε</t>
    </r>
    <r>
      <rPr>
        <sz val="10"/>
        <color indexed="43"/>
        <rFont val="Arial"/>
        <family val="2"/>
      </rPr>
      <t xml:space="preserve"> στο δοχείο επί πλέον ποσότητα </t>
    </r>
    <r>
      <rPr>
        <b/>
        <sz val="10"/>
        <color indexed="52"/>
        <rFont val="Arial"/>
        <family val="2"/>
        <charset val="161"/>
      </rPr>
      <t>CaCO</t>
    </r>
    <r>
      <rPr>
        <b/>
        <vertAlign val="subscript"/>
        <sz val="10"/>
        <color indexed="52"/>
        <rFont val="Arial"/>
        <family val="2"/>
        <charset val="161"/>
      </rPr>
      <t>3(s)</t>
    </r>
    <r>
      <rPr>
        <b/>
        <sz val="10"/>
        <color indexed="52"/>
        <rFont val="Arial"/>
        <family val="2"/>
        <charset val="161"/>
      </rPr>
      <t>,</t>
    </r>
    <r>
      <rPr>
        <sz val="10"/>
        <color indexed="43"/>
        <rFont val="Arial"/>
        <family val="2"/>
      </rPr>
      <t xml:space="preserve"> χωρίς ουσι- ώδη μεταβολή του όγκου του ελεύθερου χώρου μέσα στο δοχείο.</t>
    </r>
  </si>
  <si>
    <r>
      <t>Αφαιρούμε</t>
    </r>
    <r>
      <rPr>
        <sz val="10"/>
        <color indexed="43"/>
        <rFont val="Arial"/>
        <family val="2"/>
      </rPr>
      <t xml:space="preserve"> από το δοχείο ορισμένη ποσότητα </t>
    </r>
    <r>
      <rPr>
        <b/>
        <sz val="10"/>
        <color indexed="52"/>
        <rFont val="Arial"/>
        <family val="2"/>
        <charset val="161"/>
      </rPr>
      <t>CO</t>
    </r>
    <r>
      <rPr>
        <b/>
        <vertAlign val="subscript"/>
        <sz val="10"/>
        <color indexed="52"/>
        <rFont val="Arial"/>
        <family val="2"/>
        <charset val="161"/>
      </rPr>
      <t>2(g)</t>
    </r>
    <r>
      <rPr>
        <b/>
        <sz val="10"/>
        <color indexed="52"/>
        <rFont val="Arial"/>
        <family val="2"/>
        <charset val="161"/>
      </rPr>
      <t>.</t>
    </r>
  </si>
  <si>
    <r>
      <t xml:space="preserve">Εισάγουμε στο δοχείο </t>
    </r>
    <r>
      <rPr>
        <b/>
        <sz val="10"/>
        <color indexed="52"/>
        <rFont val="Arial"/>
        <family val="2"/>
        <charset val="161"/>
      </rPr>
      <t>αδρανές</t>
    </r>
    <r>
      <rPr>
        <sz val="10"/>
        <color indexed="43"/>
        <rFont val="Arial"/>
        <family val="2"/>
      </rPr>
      <t xml:space="preserve"> αέριο, προκαλώντας έτσι </t>
    </r>
    <r>
      <rPr>
        <b/>
        <sz val="10"/>
        <color indexed="52"/>
        <rFont val="Arial"/>
        <family val="2"/>
        <charset val="161"/>
      </rPr>
      <t>αύξηση</t>
    </r>
    <r>
      <rPr>
        <sz val="10"/>
        <color indexed="43"/>
        <rFont val="Arial"/>
        <family val="2"/>
      </rPr>
      <t xml:space="preserve"> της ολικής πίεσης, φροντίζοντας όμως να </t>
    </r>
    <r>
      <rPr>
        <b/>
        <sz val="10"/>
        <color indexed="52"/>
        <rFont val="Arial"/>
        <family val="2"/>
        <charset val="161"/>
      </rPr>
      <t>μη μεταβληθεί ο όγκος</t>
    </r>
    <r>
      <rPr>
        <sz val="10"/>
        <color indexed="43"/>
        <rFont val="Arial"/>
        <family val="2"/>
      </rPr>
      <t xml:space="preserve"> του δοχείου.</t>
    </r>
  </si>
  <si>
    <r>
      <t xml:space="preserve">Για την ποσότητα </t>
    </r>
    <r>
      <rPr>
        <b/>
        <sz val="10"/>
        <color indexed="52"/>
        <rFont val="Arial"/>
        <family val="2"/>
        <charset val="161"/>
      </rPr>
      <t>NH</t>
    </r>
    <r>
      <rPr>
        <b/>
        <vertAlign val="subscript"/>
        <sz val="10"/>
        <color indexed="52"/>
        <rFont val="Arial"/>
        <family val="2"/>
        <charset val="161"/>
      </rPr>
      <t>3(g)</t>
    </r>
    <r>
      <rPr>
        <sz val="10"/>
        <color indexed="43"/>
        <rFont val="Arial"/>
        <family val="2"/>
      </rPr>
      <t xml:space="preserve"> θα έχουμε τελικά:</t>
    </r>
  </si>
  <si>
    <r>
      <t xml:space="preserve">Για την ποσότητα </t>
    </r>
    <r>
      <rPr>
        <b/>
        <sz val="10"/>
        <color indexed="52"/>
        <rFont val="Arial"/>
        <family val="2"/>
        <charset val="161"/>
      </rPr>
      <t>N</t>
    </r>
    <r>
      <rPr>
        <b/>
        <vertAlign val="subscript"/>
        <sz val="10"/>
        <color indexed="52"/>
        <rFont val="Arial"/>
        <family val="2"/>
        <charset val="161"/>
      </rPr>
      <t>2(g)</t>
    </r>
    <r>
      <rPr>
        <sz val="10"/>
        <color indexed="43"/>
        <rFont val="Arial"/>
        <family val="2"/>
      </rPr>
      <t xml:space="preserve"> θα έχουμε τελικά:</t>
    </r>
  </si>
  <si>
    <r>
      <t xml:space="preserve">Για την ποσότητα </t>
    </r>
    <r>
      <rPr>
        <b/>
        <sz val="10"/>
        <color indexed="52"/>
        <rFont val="Arial"/>
        <family val="2"/>
        <charset val="161"/>
      </rPr>
      <t>H</t>
    </r>
    <r>
      <rPr>
        <b/>
        <vertAlign val="subscript"/>
        <sz val="10"/>
        <color indexed="52"/>
        <rFont val="Arial"/>
        <family val="2"/>
        <charset val="161"/>
      </rPr>
      <t>2(g)</t>
    </r>
    <r>
      <rPr>
        <sz val="10"/>
        <color indexed="43"/>
        <rFont val="Arial"/>
        <family val="2"/>
      </rPr>
      <t xml:space="preserve"> θα έχουμε τελικά:</t>
    </r>
  </si>
  <si>
    <r>
      <t xml:space="preserve">Για την ποσότητα </t>
    </r>
    <r>
      <rPr>
        <b/>
        <sz val="10"/>
        <color indexed="52"/>
        <rFont val="Arial"/>
        <family val="2"/>
        <charset val="161"/>
      </rPr>
      <t>HI</t>
    </r>
    <r>
      <rPr>
        <b/>
        <vertAlign val="subscript"/>
        <sz val="10"/>
        <color indexed="52"/>
        <rFont val="Arial"/>
        <family val="2"/>
        <charset val="161"/>
      </rPr>
      <t>(g)</t>
    </r>
    <r>
      <rPr>
        <sz val="10"/>
        <color indexed="43"/>
        <rFont val="Arial"/>
        <family val="2"/>
      </rPr>
      <t xml:space="preserve"> θα έχουμε τελικά:</t>
    </r>
  </si>
  <si>
    <r>
      <t xml:space="preserve">Για την ποσότητα </t>
    </r>
    <r>
      <rPr>
        <b/>
        <sz val="10"/>
        <color indexed="52"/>
        <rFont val="Arial"/>
        <family val="2"/>
        <charset val="161"/>
      </rPr>
      <t>CO</t>
    </r>
    <r>
      <rPr>
        <b/>
        <vertAlign val="subscript"/>
        <sz val="10"/>
        <color indexed="52"/>
        <rFont val="Arial"/>
        <family val="2"/>
        <charset val="161"/>
      </rPr>
      <t>2(g)</t>
    </r>
    <r>
      <rPr>
        <sz val="10"/>
        <color indexed="43"/>
        <rFont val="Arial"/>
        <family val="2"/>
      </rPr>
      <t xml:space="preserve"> θα έχουμε τελικά:</t>
    </r>
  </si>
  <si>
    <r>
      <t xml:space="preserve">Για την ποσότητα </t>
    </r>
    <r>
      <rPr>
        <b/>
        <sz val="10"/>
        <color indexed="52"/>
        <rFont val="Arial"/>
        <family val="2"/>
        <charset val="161"/>
      </rPr>
      <t>CaO</t>
    </r>
    <r>
      <rPr>
        <b/>
        <vertAlign val="subscript"/>
        <sz val="10"/>
        <color indexed="52"/>
        <rFont val="Arial"/>
        <family val="2"/>
        <charset val="161"/>
      </rPr>
      <t>(s)</t>
    </r>
    <r>
      <rPr>
        <sz val="10"/>
        <color indexed="43"/>
        <rFont val="Arial"/>
        <family val="2"/>
      </rPr>
      <t xml:space="preserve"> θα έχουμε τελικά:</t>
    </r>
  </si>
  <si>
    <r>
      <t xml:space="preserve">Για τη σταθερά </t>
    </r>
    <r>
      <rPr>
        <b/>
        <sz val="10"/>
        <color indexed="52"/>
        <rFont val="Arial"/>
        <family val="2"/>
        <charset val="161"/>
      </rPr>
      <t>K</t>
    </r>
    <r>
      <rPr>
        <b/>
        <vertAlign val="subscript"/>
        <sz val="10"/>
        <color indexed="52"/>
        <rFont val="Arial"/>
        <family val="2"/>
        <charset val="161"/>
      </rPr>
      <t>C</t>
    </r>
    <r>
      <rPr>
        <sz val="10"/>
        <color indexed="43"/>
        <rFont val="Arial"/>
        <family val="2"/>
      </rPr>
      <t xml:space="preserve"> θα έχουμε τελικά:</t>
    </r>
  </si>
  <si>
    <r>
      <t xml:space="preserve">Έστω ότι σε κλειστό δοχείο </t>
    </r>
    <r>
      <rPr>
        <b/>
        <sz val="10"/>
        <color indexed="52"/>
        <rFont val="Arial"/>
        <family val="2"/>
        <charset val="161"/>
      </rPr>
      <t>μεταβλητού</t>
    </r>
    <r>
      <rPr>
        <sz val="10"/>
        <color indexed="43"/>
        <rFont val="Arial"/>
        <family val="2"/>
        <charset val="161"/>
      </rPr>
      <t xml:space="preserve"> όγκου έχει αποκαταστα- θεί η παραπάνω </t>
    </r>
    <r>
      <rPr>
        <b/>
        <sz val="10"/>
        <color indexed="52"/>
        <rFont val="Arial"/>
        <family val="2"/>
        <charset val="161"/>
      </rPr>
      <t>ΧΙ.</t>
    </r>
    <r>
      <rPr>
        <sz val="10"/>
        <color indexed="43"/>
        <rFont val="Arial"/>
        <family val="2"/>
        <charset val="161"/>
      </rPr>
      <t xml:space="preserve"> Προκαλούμε τις μεταβολές που αναφέρονται στη συνέχεια. </t>
    </r>
  </si>
  <si>
    <r>
      <t>CaO</t>
    </r>
    <r>
      <rPr>
        <b/>
        <vertAlign val="subscript"/>
        <sz val="11"/>
        <color indexed="43"/>
        <rFont val="Arial"/>
        <family val="2"/>
        <charset val="161"/>
      </rPr>
      <t>(s)</t>
    </r>
  </si>
  <si>
    <r>
      <t>CO</t>
    </r>
    <r>
      <rPr>
        <b/>
        <vertAlign val="subscript"/>
        <sz val="11"/>
        <color indexed="43"/>
        <rFont val="Arial"/>
        <family val="2"/>
        <charset val="161"/>
      </rPr>
      <t>2(g)</t>
    </r>
  </si>
  <si>
    <r>
      <t>I</t>
    </r>
    <r>
      <rPr>
        <b/>
        <vertAlign val="subscript"/>
        <sz val="11"/>
        <color indexed="43"/>
        <rFont val="Arial"/>
        <family val="2"/>
        <charset val="161"/>
      </rPr>
      <t>2(g)</t>
    </r>
  </si>
  <si>
    <r>
      <t>2</t>
    </r>
    <r>
      <rPr>
        <b/>
        <sz val="11"/>
        <color indexed="43"/>
        <rFont val="Arial"/>
        <family val="2"/>
        <charset val="161"/>
      </rPr>
      <t>HI</t>
    </r>
    <r>
      <rPr>
        <b/>
        <vertAlign val="subscript"/>
        <sz val="11"/>
        <color indexed="43"/>
        <rFont val="Arial"/>
        <family val="2"/>
        <charset val="161"/>
      </rPr>
      <t>(g)</t>
    </r>
  </si>
  <si>
    <r>
      <t xml:space="preserve">Στα προβλήματα που ακολουθούν εργαζόμαστε όπως και σε εκείνα της άσκησης </t>
    </r>
    <r>
      <rPr>
        <b/>
        <sz val="10"/>
        <color indexed="52"/>
        <rFont val="Arial"/>
        <family val="2"/>
        <charset val="161"/>
      </rPr>
      <t>6,</t>
    </r>
    <r>
      <rPr>
        <sz val="10"/>
        <color indexed="43"/>
        <rFont val="Arial"/>
        <family val="2"/>
        <charset val="161"/>
      </rPr>
      <t xml:space="preserve"> με τη διαφορά ότι τώρα θα αναφέρεται ότι συμβαίνει κάποια μεταβολή σε κάποιον από τους παράγοντες της </t>
    </r>
    <r>
      <rPr>
        <b/>
        <sz val="10"/>
        <color indexed="52"/>
        <rFont val="Arial"/>
        <family val="2"/>
        <charset val="161"/>
      </rPr>
      <t>ΧΙ</t>
    </r>
    <r>
      <rPr>
        <sz val="10"/>
        <color indexed="43"/>
        <rFont val="Arial"/>
        <family val="2"/>
        <charset val="161"/>
      </rPr>
      <t xml:space="preserve"> και θα γίνεται εφαρμογή της αρχής </t>
    </r>
    <r>
      <rPr>
        <b/>
        <sz val="10"/>
        <color indexed="52"/>
        <rFont val="Arial"/>
        <family val="2"/>
        <charset val="161"/>
      </rPr>
      <t>Le Chatelier</t>
    </r>
    <r>
      <rPr>
        <sz val="10"/>
        <color indexed="43"/>
        <rFont val="Arial"/>
        <family val="2"/>
        <charset val="161"/>
      </rPr>
      <t xml:space="preserve"> για να διαπιστωθεί προς ποια κατεύθυνση μετατοπίζεται η θέση ΧΙ.</t>
    </r>
  </si>
  <si>
    <t xml:space="preserve">ΕΠΑΝΑΛΗΠΤΙΚΟ TEST ΣΤΗ ΧΗΜΙΚΗ ΙΣΟΡΡΟΠΙΑ                                </t>
  </si>
  <si>
    <t>Επιμέλεια: Τουκμενίδης Μηνάς</t>
  </si>
  <si>
    <r>
      <t xml:space="preserve">Η </t>
    </r>
    <r>
      <rPr>
        <b/>
        <sz val="10"/>
        <color indexed="52"/>
        <rFont val="Arial"/>
        <family val="2"/>
        <charset val="161"/>
      </rPr>
      <t>αριθμητική τιμή</t>
    </r>
    <r>
      <rPr>
        <sz val="10"/>
        <color indexed="43"/>
        <rFont val="Arial"/>
        <family val="2"/>
      </rPr>
      <t xml:space="preserve"> του </t>
    </r>
    <r>
      <rPr>
        <b/>
        <sz val="10"/>
        <color indexed="52"/>
        <rFont val="Arial"/>
        <family val="2"/>
        <charset val="161"/>
      </rPr>
      <t>x</t>
    </r>
    <r>
      <rPr>
        <sz val="10"/>
        <color indexed="43"/>
        <rFont val="Arial"/>
        <family val="2"/>
      </rPr>
      <t xml:space="preserve"> είναι:</t>
    </r>
  </si>
  <si>
    <r>
      <t xml:space="preserve">Δίνεται ότι το αέριο μίγμα που υπάρχει στην </t>
    </r>
    <r>
      <rPr>
        <b/>
        <sz val="10"/>
        <color indexed="52"/>
        <rFont val="Arial"/>
        <family val="2"/>
        <charset val="161"/>
      </rPr>
      <t>τελ.</t>
    </r>
    <r>
      <rPr>
        <sz val="10"/>
        <color indexed="52"/>
        <rFont val="Arial"/>
        <family val="2"/>
        <charset val="161"/>
      </rPr>
      <t xml:space="preserve"> </t>
    </r>
    <r>
      <rPr>
        <b/>
        <sz val="10"/>
        <color indexed="52"/>
        <rFont val="Arial"/>
        <family val="2"/>
        <charset val="161"/>
      </rPr>
      <t>ΚΧΙ,</t>
    </r>
    <r>
      <rPr>
        <sz val="10"/>
        <color indexed="43"/>
        <rFont val="Arial"/>
        <family val="2"/>
        <charset val="161"/>
      </rPr>
      <t xml:space="preserve"> είναι </t>
    </r>
    <r>
      <rPr>
        <b/>
        <sz val="10"/>
        <color indexed="52"/>
        <rFont val="Arial"/>
        <family val="2"/>
        <charset val="161"/>
      </rPr>
      <t>ισομο-ριακό</t>
    </r>
    <r>
      <rPr>
        <sz val="10"/>
        <color indexed="43"/>
        <rFont val="Arial"/>
        <family val="2"/>
        <charset val="161"/>
      </rPr>
      <t xml:space="preserve"> ως προς τα συστατικά του και ότι ο όγκος του χώρου στον οποίο αποκαταστάθηκε η παραπάνω ΧΙ είναι </t>
    </r>
    <r>
      <rPr>
        <b/>
        <sz val="10"/>
        <color indexed="52"/>
        <rFont val="Arial"/>
        <family val="2"/>
        <charset val="161"/>
      </rPr>
      <t>5L.</t>
    </r>
  </si>
  <si>
    <r>
      <t xml:space="preserve">Μεταξύ των τιμών των θερμοκρασιών </t>
    </r>
    <r>
      <rPr>
        <b/>
        <sz val="10"/>
        <color indexed="52"/>
        <rFont val="Arial"/>
        <family val="2"/>
        <charset val="161"/>
      </rPr>
      <t>θ</t>
    </r>
    <r>
      <rPr>
        <b/>
        <vertAlign val="subscript"/>
        <sz val="10"/>
        <color indexed="52"/>
        <rFont val="Arial"/>
        <family val="2"/>
        <charset val="161"/>
      </rPr>
      <t>1</t>
    </r>
    <r>
      <rPr>
        <sz val="10"/>
        <color indexed="43"/>
        <rFont val="Arial"/>
        <family val="2"/>
      </rPr>
      <t xml:space="preserve"> και </t>
    </r>
    <r>
      <rPr>
        <b/>
        <sz val="10"/>
        <color indexed="52"/>
        <rFont val="Arial"/>
        <family val="2"/>
        <charset val="161"/>
      </rPr>
      <t>θ</t>
    </r>
    <r>
      <rPr>
        <b/>
        <vertAlign val="subscript"/>
        <sz val="10"/>
        <color indexed="52"/>
        <rFont val="Arial"/>
        <family val="2"/>
        <charset val="161"/>
      </rPr>
      <t>2</t>
    </r>
    <r>
      <rPr>
        <b/>
        <sz val="10"/>
        <color indexed="52"/>
        <rFont val="Arial"/>
        <family val="2"/>
        <charset val="161"/>
      </rPr>
      <t>,</t>
    </r>
    <r>
      <rPr>
        <sz val="10"/>
        <color indexed="52"/>
        <rFont val="Arial"/>
        <family val="2"/>
        <charset val="161"/>
      </rPr>
      <t xml:space="preserve"> </t>
    </r>
    <r>
      <rPr>
        <b/>
        <sz val="10"/>
        <color indexed="52"/>
        <rFont val="Arial"/>
        <family val="2"/>
        <charset val="161"/>
      </rPr>
      <t>μεγα-  λύ</t>
    </r>
    <r>
      <rPr>
        <b/>
        <sz val="10"/>
        <color indexed="52"/>
        <rFont val="Arial"/>
        <family val="2"/>
        <charset val="161"/>
      </rPr>
      <t>τερη</t>
    </r>
    <r>
      <rPr>
        <sz val="10"/>
        <color indexed="43"/>
        <rFont val="Arial"/>
        <family val="2"/>
      </rPr>
      <t xml:space="preserve"> είναι η: </t>
    </r>
  </si>
  <si>
    <r>
      <t xml:space="preserve">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για την παραπάνω αντίδραση σε </t>
    </r>
    <r>
      <rPr>
        <b/>
        <sz val="10"/>
        <color indexed="52"/>
        <rFont val="Arial"/>
        <family val="2"/>
        <charset val="161"/>
      </rPr>
      <t>θ</t>
    </r>
    <r>
      <rPr>
        <b/>
        <vertAlign val="subscript"/>
        <sz val="10"/>
        <color indexed="52"/>
        <rFont val="Arial"/>
        <family val="2"/>
        <charset val="161"/>
      </rPr>
      <t>1</t>
    </r>
    <r>
      <rPr>
        <b/>
        <sz val="10"/>
        <color indexed="52"/>
        <rFont val="Arial"/>
        <family val="2"/>
        <charset val="161"/>
      </rPr>
      <t>°C,</t>
    </r>
    <r>
      <rPr>
        <sz val="10"/>
        <color indexed="43"/>
        <rFont val="Arial"/>
        <family val="2"/>
      </rPr>
      <t xml:space="preserve"> είναι, </t>
    </r>
    <r>
      <rPr>
        <b/>
        <sz val="10"/>
        <color indexed="52"/>
        <rFont val="Arial"/>
        <family val="2"/>
        <charset val="161"/>
      </rPr>
      <t>(να μη γραφούν μονάδες για την K</t>
    </r>
    <r>
      <rPr>
        <b/>
        <vertAlign val="subscript"/>
        <sz val="10"/>
        <color indexed="52"/>
        <rFont val="Arial"/>
        <family val="2"/>
        <charset val="161"/>
      </rPr>
      <t>C</t>
    </r>
    <r>
      <rPr>
        <b/>
        <sz val="10"/>
        <color indexed="52"/>
        <rFont val="Arial"/>
        <family val="2"/>
        <charset val="161"/>
      </rPr>
      <t>):</t>
    </r>
  </si>
  <si>
    <r>
      <t xml:space="preserve">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για την παραπάνω αντίδραση σε </t>
    </r>
    <r>
      <rPr>
        <b/>
        <sz val="10"/>
        <color indexed="52"/>
        <rFont val="Arial"/>
        <family val="2"/>
        <charset val="161"/>
      </rPr>
      <t>θ</t>
    </r>
    <r>
      <rPr>
        <b/>
        <vertAlign val="subscript"/>
        <sz val="10"/>
        <color indexed="52"/>
        <rFont val="Arial"/>
        <family val="2"/>
        <charset val="161"/>
      </rPr>
      <t>2</t>
    </r>
    <r>
      <rPr>
        <b/>
        <sz val="10"/>
        <color indexed="52"/>
        <rFont val="Arial"/>
        <family val="2"/>
        <charset val="161"/>
      </rPr>
      <t>°C,</t>
    </r>
    <r>
      <rPr>
        <sz val="10"/>
        <color indexed="43"/>
        <rFont val="Arial"/>
        <family val="2"/>
      </rPr>
      <t xml:space="preserve"> είναι, </t>
    </r>
    <r>
      <rPr>
        <b/>
        <sz val="10"/>
        <color indexed="52"/>
        <rFont val="Arial"/>
        <family val="2"/>
        <charset val="161"/>
      </rPr>
      <t>(να μη γραφούν μονάδες για την K</t>
    </r>
    <r>
      <rPr>
        <b/>
        <vertAlign val="subscript"/>
        <sz val="10"/>
        <color indexed="52"/>
        <rFont val="Arial"/>
        <family val="2"/>
        <charset val="161"/>
      </rPr>
      <t>C</t>
    </r>
    <r>
      <rPr>
        <b/>
        <sz val="10"/>
        <color indexed="52"/>
        <rFont val="Arial"/>
        <family val="2"/>
        <charset val="161"/>
      </rPr>
      <t>):</t>
    </r>
  </si>
  <si>
    <r>
      <t xml:space="preserve">    θ</t>
    </r>
    <r>
      <rPr>
        <b/>
        <vertAlign val="subscript"/>
        <sz val="10"/>
        <color indexed="52"/>
        <rFont val="Arial"/>
        <family val="2"/>
        <charset val="161"/>
      </rPr>
      <t>1</t>
    </r>
    <r>
      <rPr>
        <b/>
        <sz val="10"/>
        <color indexed="52"/>
        <rFont val="Arial"/>
        <family val="2"/>
        <charset val="161"/>
      </rPr>
      <t>°C</t>
    </r>
  </si>
  <si>
    <r>
      <t xml:space="preserve">    θ</t>
    </r>
    <r>
      <rPr>
        <b/>
        <vertAlign val="subscript"/>
        <sz val="10"/>
        <color indexed="52"/>
        <rFont val="Arial"/>
        <family val="2"/>
        <charset val="161"/>
      </rPr>
      <t>2</t>
    </r>
    <r>
      <rPr>
        <b/>
        <sz val="10"/>
        <color indexed="52"/>
        <rFont val="Arial"/>
        <family val="2"/>
        <charset val="161"/>
      </rPr>
      <t>°C</t>
    </r>
  </si>
  <si>
    <r>
      <t xml:space="preserve">Να εμφανιστεί η λύση του προβλήματος </t>
    </r>
    <r>
      <rPr>
        <b/>
        <sz val="9"/>
        <color indexed="52"/>
        <rFont val="Arial"/>
        <family val="2"/>
        <charset val="161"/>
      </rPr>
      <t>8β;</t>
    </r>
  </si>
  <si>
    <t>Τουκμενίδης Μηνάς - 3ο ΓΕΛ Αμπελοκήπων, Θεσσαλονίκης</t>
  </si>
  <si>
    <r>
      <t>2</t>
    </r>
    <r>
      <rPr>
        <b/>
        <sz val="11"/>
        <color indexed="43"/>
        <rFont val="Arial"/>
        <family val="2"/>
        <charset val="161"/>
      </rPr>
      <t>SO</t>
    </r>
    <r>
      <rPr>
        <b/>
        <vertAlign val="subscript"/>
        <sz val="11"/>
        <color indexed="43"/>
        <rFont val="Arial"/>
        <family val="2"/>
      </rPr>
      <t>2(g)</t>
    </r>
  </si>
  <si>
    <r>
      <t xml:space="preserve">Δίνεται ότι η παραπάνω ΧΙ αποκαθίσταται εντός δοχείου </t>
    </r>
    <r>
      <rPr>
        <b/>
        <sz val="10"/>
        <color indexed="52"/>
        <rFont val="Arial"/>
        <family val="2"/>
        <charset val="161"/>
      </rPr>
      <t>σταθερού</t>
    </r>
    <r>
      <rPr>
        <sz val="10"/>
        <color indexed="43"/>
        <rFont val="Arial"/>
        <family val="2"/>
        <charset val="161"/>
      </rPr>
      <t xml:space="preserve"> όγκου </t>
    </r>
    <r>
      <rPr>
        <b/>
        <sz val="10"/>
        <color indexed="52"/>
        <rFont val="Arial"/>
        <family val="2"/>
        <charset val="161"/>
      </rPr>
      <t>V=1,6L</t>
    </r>
    <r>
      <rPr>
        <sz val="10"/>
        <color indexed="43"/>
        <rFont val="Arial"/>
        <family val="2"/>
        <charset val="161"/>
      </rPr>
      <t xml:space="preserve"> και ότι για τις θερμοκρασίες</t>
    </r>
    <r>
      <rPr>
        <b/>
        <sz val="10"/>
        <color indexed="43"/>
        <rFont val="Arial"/>
        <family val="2"/>
      </rPr>
      <t xml:space="preserve"> </t>
    </r>
    <r>
      <rPr>
        <b/>
        <sz val="10"/>
        <color indexed="52"/>
        <rFont val="Arial"/>
        <family val="2"/>
        <charset val="161"/>
      </rPr>
      <t>θ</t>
    </r>
    <r>
      <rPr>
        <b/>
        <vertAlign val="subscript"/>
        <sz val="10"/>
        <color indexed="52"/>
        <rFont val="Arial"/>
        <family val="2"/>
        <charset val="161"/>
      </rPr>
      <t>1</t>
    </r>
    <r>
      <rPr>
        <b/>
        <sz val="10"/>
        <color indexed="52"/>
        <rFont val="Arial"/>
        <family val="2"/>
        <charset val="161"/>
      </rPr>
      <t>°C</t>
    </r>
    <r>
      <rPr>
        <b/>
        <sz val="10"/>
        <color indexed="43"/>
        <rFont val="Arial"/>
        <family val="2"/>
      </rPr>
      <t xml:space="preserve"> </t>
    </r>
    <r>
      <rPr>
        <sz val="10"/>
        <color indexed="43"/>
        <rFont val="Arial"/>
        <family val="2"/>
        <charset val="161"/>
      </rPr>
      <t xml:space="preserve">και </t>
    </r>
    <r>
      <rPr>
        <b/>
        <sz val="10"/>
        <color indexed="52"/>
        <rFont val="Arial"/>
        <family val="2"/>
        <charset val="161"/>
      </rPr>
      <t>θ</t>
    </r>
    <r>
      <rPr>
        <b/>
        <vertAlign val="subscript"/>
        <sz val="10"/>
        <color indexed="52"/>
        <rFont val="Arial"/>
        <family val="2"/>
        <charset val="161"/>
      </rPr>
      <t>2</t>
    </r>
    <r>
      <rPr>
        <b/>
        <sz val="10"/>
        <color indexed="52"/>
        <rFont val="Arial"/>
        <family val="2"/>
        <charset val="161"/>
      </rPr>
      <t>°C,</t>
    </r>
    <r>
      <rPr>
        <b/>
        <sz val="10"/>
        <color indexed="43"/>
        <rFont val="Arial"/>
        <family val="2"/>
      </rPr>
      <t xml:space="preserve"> </t>
    </r>
    <r>
      <rPr>
        <sz val="10"/>
        <color indexed="43"/>
        <rFont val="Arial"/>
        <family val="2"/>
      </rPr>
      <t>ισχύει η σχέση</t>
    </r>
    <r>
      <rPr>
        <sz val="10"/>
        <color indexed="43"/>
        <rFont val="Arial"/>
        <family val="2"/>
        <charset val="161"/>
      </rPr>
      <t xml:space="preserve"> </t>
    </r>
    <r>
      <rPr>
        <b/>
        <sz val="10"/>
        <color indexed="52"/>
        <rFont val="Arial"/>
        <family val="2"/>
        <charset val="161"/>
      </rPr>
      <t>θ</t>
    </r>
    <r>
      <rPr>
        <b/>
        <vertAlign val="subscript"/>
        <sz val="10"/>
        <color indexed="52"/>
        <rFont val="Arial"/>
        <family val="2"/>
        <charset val="161"/>
      </rPr>
      <t>2</t>
    </r>
    <r>
      <rPr>
        <b/>
        <sz val="10"/>
        <color indexed="52"/>
        <rFont val="Arial"/>
        <family val="2"/>
        <charset val="161"/>
      </rPr>
      <t>&gt;θ</t>
    </r>
    <r>
      <rPr>
        <b/>
        <vertAlign val="subscript"/>
        <sz val="10"/>
        <color indexed="52"/>
        <rFont val="Arial"/>
        <family val="2"/>
        <charset val="161"/>
      </rPr>
      <t>1</t>
    </r>
    <r>
      <rPr>
        <b/>
        <sz val="10"/>
        <color indexed="52"/>
        <rFont val="Arial"/>
        <family val="2"/>
        <charset val="161"/>
      </rPr>
      <t>.</t>
    </r>
    <r>
      <rPr>
        <sz val="10"/>
        <color indexed="43"/>
        <rFont val="Arial"/>
        <family val="2"/>
        <charset val="161"/>
      </rPr>
      <t xml:space="preserve"> Ακόμη αναφέρεται ότι στην </t>
    </r>
    <r>
      <rPr>
        <b/>
        <sz val="10"/>
        <color indexed="52"/>
        <rFont val="Arial"/>
        <family val="2"/>
        <charset val="161"/>
      </rPr>
      <t>τελική ΚΧΙ,</t>
    </r>
    <r>
      <rPr>
        <b/>
        <sz val="10"/>
        <color indexed="43"/>
        <rFont val="Arial"/>
        <family val="2"/>
      </rPr>
      <t xml:space="preserve"> </t>
    </r>
    <r>
      <rPr>
        <sz val="10"/>
        <color indexed="43"/>
        <rFont val="Arial"/>
        <family val="2"/>
        <charset val="161"/>
      </rPr>
      <t xml:space="preserve">το </t>
    </r>
    <r>
      <rPr>
        <b/>
        <sz val="10"/>
        <color indexed="52"/>
        <rFont val="Arial"/>
        <family val="2"/>
        <charset val="161"/>
      </rPr>
      <t>μοριακό</t>
    </r>
    <r>
      <rPr>
        <sz val="10"/>
        <color indexed="52"/>
        <rFont val="Arial"/>
        <family val="2"/>
        <charset val="161"/>
      </rPr>
      <t xml:space="preserve"> </t>
    </r>
    <r>
      <rPr>
        <b/>
        <sz val="10"/>
        <color indexed="52"/>
        <rFont val="Arial"/>
        <family val="2"/>
        <charset val="161"/>
      </rPr>
      <t>κλάσμα</t>
    </r>
    <r>
      <rPr>
        <sz val="10"/>
        <color indexed="43"/>
        <rFont val="Arial"/>
        <family val="2"/>
        <charset val="161"/>
      </rPr>
      <t xml:space="preserve"> του</t>
    </r>
    <r>
      <rPr>
        <b/>
        <sz val="10"/>
        <color indexed="43"/>
        <rFont val="Arial"/>
        <family val="2"/>
      </rPr>
      <t xml:space="preserve"> </t>
    </r>
    <r>
      <rPr>
        <b/>
        <sz val="10"/>
        <color indexed="52"/>
        <rFont val="Arial"/>
        <family val="2"/>
        <charset val="161"/>
      </rPr>
      <t>Ο</t>
    </r>
    <r>
      <rPr>
        <b/>
        <vertAlign val="subscript"/>
        <sz val="10"/>
        <color indexed="52"/>
        <rFont val="Arial"/>
        <family val="2"/>
        <charset val="161"/>
      </rPr>
      <t>2(g)</t>
    </r>
    <r>
      <rPr>
        <sz val="10"/>
        <color indexed="43"/>
        <rFont val="Arial"/>
        <family val="2"/>
        <charset val="161"/>
      </rPr>
      <t xml:space="preserve"> στο αέριο μίγμα που έχει σχηματιστεί, είναι ίσο με </t>
    </r>
    <r>
      <rPr>
        <b/>
        <sz val="10"/>
        <color indexed="52"/>
        <rFont val="Arial"/>
        <family val="2"/>
        <charset val="161"/>
      </rPr>
      <t>1/4.</t>
    </r>
  </si>
  <si>
    <t>…ενώ, εύκολα γίνεται αντιληπτό ότι αν είναι…</t>
  </si>
  <si>
    <r>
      <t xml:space="preserve">    Q</t>
    </r>
    <r>
      <rPr>
        <b/>
        <vertAlign val="subscript"/>
        <sz val="18"/>
        <color indexed="52"/>
        <rFont val="Arial"/>
        <family val="2"/>
      </rPr>
      <t>C</t>
    </r>
    <r>
      <rPr>
        <b/>
        <sz val="18"/>
        <color indexed="52"/>
        <rFont val="Arial"/>
        <family val="2"/>
      </rPr>
      <t>&lt;K</t>
    </r>
    <r>
      <rPr>
        <b/>
        <vertAlign val="subscript"/>
        <sz val="18"/>
        <color indexed="52"/>
        <rFont val="Arial"/>
        <family val="2"/>
      </rPr>
      <t>C</t>
    </r>
  </si>
  <si>
    <r>
      <t xml:space="preserve">          </t>
    </r>
    <r>
      <rPr>
        <b/>
        <sz val="18"/>
        <color indexed="52"/>
        <rFont val="Arial"/>
        <family val="2"/>
        <charset val="161"/>
      </rPr>
      <t>ΚΧΙ</t>
    </r>
  </si>
  <si>
    <r>
      <t xml:space="preserve">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για την παραπάνω αντίδραση σε </t>
    </r>
    <r>
      <rPr>
        <b/>
        <sz val="10"/>
        <color indexed="52"/>
        <rFont val="Arial"/>
        <family val="2"/>
        <charset val="161"/>
      </rPr>
      <t>θ</t>
    </r>
    <r>
      <rPr>
        <b/>
        <vertAlign val="subscript"/>
        <sz val="10"/>
        <color indexed="52"/>
        <rFont val="Arial"/>
        <family val="2"/>
        <charset val="161"/>
      </rPr>
      <t>1</t>
    </r>
    <r>
      <rPr>
        <b/>
        <sz val="10"/>
        <color indexed="52"/>
        <rFont val="Arial"/>
        <family val="2"/>
        <charset val="161"/>
      </rPr>
      <t>°C,</t>
    </r>
    <r>
      <rPr>
        <sz val="10"/>
        <color indexed="43"/>
        <rFont val="Arial"/>
        <family val="2"/>
      </rPr>
      <t xml:space="preserve"> είναι,</t>
    </r>
    <r>
      <rPr>
        <b/>
        <sz val="10"/>
        <color indexed="52"/>
        <rFont val="Arial"/>
        <family val="2"/>
        <charset val="161"/>
      </rPr>
      <t>(να μη γραφούν μονάδες για την K</t>
    </r>
    <r>
      <rPr>
        <b/>
        <vertAlign val="subscript"/>
        <sz val="10"/>
        <color indexed="52"/>
        <rFont val="Arial"/>
        <family val="2"/>
        <charset val="161"/>
      </rPr>
      <t>C</t>
    </r>
    <r>
      <rPr>
        <b/>
        <sz val="10"/>
        <color indexed="52"/>
        <rFont val="Arial"/>
        <family val="2"/>
        <charset val="161"/>
      </rPr>
      <t>):</t>
    </r>
  </si>
  <si>
    <r>
      <t xml:space="preserve">Για τη </t>
    </r>
    <r>
      <rPr>
        <b/>
        <sz val="10"/>
        <color indexed="52"/>
        <rFont val="Arial"/>
        <family val="2"/>
        <charset val="161"/>
      </rPr>
      <t>μεταβολή ενθαλπίας ΔΗ</t>
    </r>
    <r>
      <rPr>
        <b/>
        <sz val="10"/>
        <color indexed="43"/>
        <rFont val="Arial"/>
        <family val="2"/>
      </rPr>
      <t xml:space="preserve"> </t>
    </r>
    <r>
      <rPr>
        <sz val="10"/>
        <color indexed="43"/>
        <rFont val="Arial"/>
        <family val="2"/>
      </rPr>
      <t>της παραπάνω αντί- δρασης ισχύει ότι:</t>
    </r>
  </si>
  <si>
    <r>
      <t xml:space="preserve">Να συμπληρωθούν τα κελιά που πρέπει, στον παραπάνω πίνακα, με τις ποσότητες των αντίστοιχων ουσιών </t>
    </r>
    <r>
      <rPr>
        <b/>
        <sz val="10"/>
        <color indexed="52"/>
        <rFont val="Arial"/>
        <family val="2"/>
        <charset val="161"/>
      </rPr>
      <t>(σε mol),</t>
    </r>
    <r>
      <rPr>
        <sz val="10"/>
        <color indexed="43"/>
        <rFont val="Arial"/>
        <family val="2"/>
      </rPr>
      <t xml:space="preserve"> όπως αυτές προκύπτουν από το ακόλουθο διάγραμμα. </t>
    </r>
    <r>
      <rPr>
        <b/>
        <sz val="10"/>
        <color indexed="10"/>
        <rFont val="Arial"/>
        <family val="2"/>
        <charset val="161"/>
      </rPr>
      <t>ΠΡΟΣΟΧΗ!</t>
    </r>
    <r>
      <rPr>
        <sz val="10"/>
        <color indexed="43"/>
        <rFont val="Arial"/>
        <family val="2"/>
      </rPr>
      <t xml:space="preserve"> Κάποια κε-λιά θα πρέπει να μείνουν κενά. Δίνεται ότι η παραπάνω </t>
    </r>
    <r>
      <rPr>
        <b/>
        <sz val="10"/>
        <color indexed="52"/>
        <rFont val="Arial"/>
        <family val="2"/>
        <charset val="161"/>
      </rPr>
      <t>ΧΙ,</t>
    </r>
    <r>
      <rPr>
        <sz val="10"/>
        <color indexed="43"/>
        <rFont val="Arial"/>
        <family val="2"/>
      </rPr>
      <t xml:space="preserve"> απο-καθίσταται εντός δοχείου </t>
    </r>
    <r>
      <rPr>
        <b/>
        <sz val="10"/>
        <color indexed="52"/>
        <rFont val="Arial"/>
        <family val="2"/>
        <charset val="161"/>
      </rPr>
      <t>σταθερού</t>
    </r>
    <r>
      <rPr>
        <sz val="10"/>
        <color indexed="43"/>
        <rFont val="Arial"/>
        <family val="2"/>
      </rPr>
      <t xml:space="preserve"> όγκου </t>
    </r>
    <r>
      <rPr>
        <b/>
        <sz val="10"/>
        <color indexed="52"/>
        <rFont val="Arial"/>
        <family val="2"/>
        <charset val="161"/>
      </rPr>
      <t>V=6L.</t>
    </r>
    <r>
      <rPr>
        <sz val="10"/>
        <color indexed="43"/>
        <rFont val="Arial"/>
        <family val="2"/>
      </rPr>
      <t xml:space="preserve"> </t>
    </r>
  </si>
  <si>
    <r>
      <t>H</t>
    </r>
    <r>
      <rPr>
        <b/>
        <vertAlign val="subscript"/>
        <sz val="11"/>
        <color indexed="43"/>
        <rFont val="Arial"/>
        <family val="2"/>
        <charset val="161"/>
      </rPr>
      <t>2(g)</t>
    </r>
  </si>
  <si>
    <r>
      <t>2</t>
    </r>
    <r>
      <rPr>
        <b/>
        <sz val="11"/>
        <color indexed="43"/>
        <rFont val="Arial"/>
        <family val="2"/>
        <charset val="161"/>
      </rPr>
      <t>HI</t>
    </r>
    <r>
      <rPr>
        <b/>
        <vertAlign val="subscript"/>
        <sz val="11"/>
        <color indexed="43"/>
        <rFont val="Arial"/>
        <family val="2"/>
      </rPr>
      <t>(g)</t>
    </r>
  </si>
  <si>
    <r>
      <t>2</t>
    </r>
    <r>
      <rPr>
        <b/>
        <sz val="11"/>
        <color indexed="43"/>
        <rFont val="Arial"/>
        <family val="2"/>
      </rPr>
      <t>NO</t>
    </r>
    <r>
      <rPr>
        <b/>
        <vertAlign val="subscript"/>
        <sz val="11"/>
        <color indexed="43"/>
        <rFont val="Arial"/>
        <family val="2"/>
      </rPr>
      <t>2(g)</t>
    </r>
  </si>
  <si>
    <r>
      <t xml:space="preserve">Η μια από τις δύο καμπύλες στο παραπάνω διάγραμμα, είναι </t>
    </r>
    <r>
      <rPr>
        <b/>
        <sz val="9"/>
        <color indexed="52"/>
        <rFont val="Arial"/>
        <family val="2"/>
        <charset val="161"/>
      </rPr>
      <t>κοινή</t>
    </r>
    <r>
      <rPr>
        <sz val="9"/>
        <color indexed="43"/>
        <rFont val="Arial"/>
        <family val="2"/>
        <charset val="161"/>
      </rPr>
      <t xml:space="preserve"> για </t>
    </r>
    <r>
      <rPr>
        <b/>
        <sz val="9"/>
        <color indexed="52"/>
        <rFont val="Arial"/>
        <family val="2"/>
        <charset val="161"/>
      </rPr>
      <t>δύο</t>
    </r>
    <r>
      <rPr>
        <sz val="9"/>
        <color indexed="43"/>
        <rFont val="Arial"/>
        <family val="2"/>
        <charset val="161"/>
      </rPr>
      <t xml:space="preserve"> από τις τρεις ουσίες που αναφέρονται στην αντίστοιχη αντίδραση.</t>
    </r>
  </si>
  <si>
    <r>
      <t xml:space="preserve">Η </t>
    </r>
    <r>
      <rPr>
        <b/>
        <sz val="10"/>
        <color indexed="52"/>
        <rFont val="Arial"/>
        <family val="2"/>
        <charset val="161"/>
      </rPr>
      <t>μεταβολή της στγκέντρωσης του ΗΙ</t>
    </r>
    <r>
      <rPr>
        <sz val="10"/>
        <color indexed="43"/>
        <rFont val="Arial"/>
        <family val="2"/>
      </rPr>
      <t xml:space="preserve"> σε σχέση με </t>
    </r>
    <r>
      <rPr>
        <sz val="10"/>
        <color indexed="43"/>
        <rFont val="Arial"/>
        <family val="2"/>
        <charset val="161"/>
      </rPr>
      <t>το</t>
    </r>
    <r>
      <rPr>
        <b/>
        <sz val="10"/>
        <color indexed="43"/>
        <rFont val="Arial"/>
        <family val="2"/>
      </rPr>
      <t xml:space="preserve"> </t>
    </r>
    <r>
      <rPr>
        <b/>
        <sz val="10"/>
        <color indexed="52"/>
        <rFont val="Arial"/>
        <family val="2"/>
        <charset val="161"/>
      </rPr>
      <t>χρόνο,</t>
    </r>
    <r>
      <rPr>
        <sz val="10"/>
        <color indexed="43"/>
        <rFont val="Arial"/>
        <family val="2"/>
      </rPr>
      <t xml:space="preserve"> αποδίδεται στο διάγραμμα από την:</t>
    </r>
  </si>
  <si>
    <r>
      <t xml:space="preserve">Η </t>
    </r>
    <r>
      <rPr>
        <b/>
        <sz val="10"/>
        <color indexed="52"/>
        <rFont val="Arial"/>
        <family val="2"/>
        <charset val="161"/>
      </rPr>
      <t>τελική</t>
    </r>
    <r>
      <rPr>
        <sz val="10"/>
        <color indexed="43"/>
        <rFont val="Arial"/>
        <family val="2"/>
      </rPr>
      <t xml:space="preserve"> συγκέντρωση </t>
    </r>
    <r>
      <rPr>
        <b/>
        <sz val="10"/>
        <color indexed="52"/>
        <rFont val="Arial"/>
        <family val="2"/>
        <charset val="161"/>
      </rPr>
      <t>Η</t>
    </r>
    <r>
      <rPr>
        <b/>
        <vertAlign val="subscript"/>
        <sz val="10"/>
        <color indexed="52"/>
        <rFont val="Arial"/>
        <family val="2"/>
        <charset val="161"/>
      </rPr>
      <t>2(g)</t>
    </r>
    <r>
      <rPr>
        <sz val="10"/>
        <color indexed="43"/>
        <rFont val="Arial"/>
        <family val="2"/>
      </rPr>
      <t xml:space="preserve"> στο δοχείο είναι:</t>
    </r>
  </si>
  <si>
    <r>
      <t xml:space="preserve">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για την παραπάνω αντίδραση σε </t>
    </r>
    <r>
      <rPr>
        <b/>
        <sz val="10"/>
        <color indexed="52"/>
        <rFont val="Arial"/>
        <family val="2"/>
        <charset val="161"/>
      </rPr>
      <t>θ°C,</t>
    </r>
    <r>
      <rPr>
        <sz val="10"/>
        <color indexed="43"/>
        <rFont val="Arial"/>
        <family val="2"/>
      </rPr>
      <t xml:space="preserve"> είναι:</t>
    </r>
  </si>
  <si>
    <r>
      <t xml:space="preserve">Στις ασκήσεις που ακολουθούν, θα πρέπει να εξακριβωθεί η κατεύθυνση προς την οποία γίνεται μια αμφίδρομη αντίδραση, με χρήση του </t>
    </r>
    <r>
      <rPr>
        <b/>
        <sz val="10"/>
        <color indexed="52"/>
        <rFont val="Arial"/>
        <family val="2"/>
        <charset val="161"/>
      </rPr>
      <t>πηλίκου της αντίδρασης (Q</t>
    </r>
    <r>
      <rPr>
        <b/>
        <vertAlign val="subscript"/>
        <sz val="10"/>
        <color indexed="52"/>
        <rFont val="Arial"/>
        <family val="2"/>
        <charset val="161"/>
      </rPr>
      <t>C</t>
    </r>
    <r>
      <rPr>
        <b/>
        <sz val="10"/>
        <color indexed="52"/>
        <rFont val="Arial"/>
        <family val="2"/>
        <charset val="161"/>
      </rPr>
      <t>)</t>
    </r>
    <r>
      <rPr>
        <sz val="10"/>
        <color indexed="43"/>
        <rFont val="Arial"/>
        <family val="2"/>
        <charset val="161"/>
      </rPr>
      <t xml:space="preserve"> αυτής.</t>
    </r>
  </si>
  <si>
    <r>
      <t xml:space="preserve">Να θεωρηθεί ότι η παραπάνω </t>
    </r>
    <r>
      <rPr>
        <b/>
        <sz val="10"/>
        <color indexed="52"/>
        <rFont val="Arial"/>
        <family val="2"/>
        <charset val="161"/>
      </rPr>
      <t>ΧΙ</t>
    </r>
    <r>
      <rPr>
        <sz val="10"/>
        <color indexed="43"/>
        <rFont val="Arial"/>
        <family val="2"/>
        <charset val="161"/>
      </rPr>
      <t xml:space="preserve"> αποκαθίσταται εντός κλειστού δο- χείου, </t>
    </r>
    <r>
      <rPr>
        <b/>
        <sz val="10"/>
        <color indexed="52"/>
        <rFont val="Arial"/>
        <family val="2"/>
        <charset val="161"/>
      </rPr>
      <t>μεταβλητού όγκου,</t>
    </r>
    <r>
      <rPr>
        <sz val="10"/>
        <color indexed="43"/>
        <rFont val="Arial"/>
        <family val="2"/>
        <charset val="161"/>
      </rPr>
      <t xml:space="preserve"> όπως εξάλλου φαίνεται και από τη 2η μεταβολή που επιφέρουμε στο σύστημα.</t>
    </r>
  </si>
  <si>
    <r>
      <t>V</t>
    </r>
    <r>
      <rPr>
        <b/>
        <vertAlign val="subscript"/>
        <sz val="10"/>
        <color indexed="43"/>
        <rFont val="Arial"/>
        <family val="2"/>
        <charset val="161"/>
      </rPr>
      <t>αρχ.</t>
    </r>
    <r>
      <rPr>
        <b/>
        <sz val="10"/>
        <color indexed="43"/>
        <rFont val="Arial"/>
        <family val="2"/>
        <charset val="161"/>
      </rPr>
      <t>=5L</t>
    </r>
  </si>
  <si>
    <r>
      <t>V</t>
    </r>
    <r>
      <rPr>
        <b/>
        <vertAlign val="subscript"/>
        <sz val="10"/>
        <color indexed="43"/>
        <rFont val="Arial"/>
        <family val="2"/>
        <charset val="161"/>
      </rPr>
      <t>τελ</t>
    </r>
    <r>
      <rPr>
        <b/>
        <sz val="10"/>
        <color indexed="43"/>
        <rFont val="Arial"/>
        <family val="2"/>
        <charset val="161"/>
      </rPr>
      <t>.=4L</t>
    </r>
  </si>
  <si>
    <r>
      <t xml:space="preserve">Για την ποσότητα, έστω </t>
    </r>
    <r>
      <rPr>
        <b/>
        <sz val="10"/>
        <color indexed="52"/>
        <rFont val="Arial"/>
        <family val="2"/>
        <charset val="161"/>
      </rPr>
      <t>"nmol"</t>
    </r>
    <r>
      <rPr>
        <sz val="10"/>
        <color indexed="43"/>
        <rFont val="Arial"/>
        <family val="2"/>
      </rPr>
      <t xml:space="preserve"> του </t>
    </r>
    <r>
      <rPr>
        <b/>
        <sz val="10"/>
        <color indexed="52"/>
        <rFont val="Arial"/>
        <family val="2"/>
        <charset val="161"/>
      </rPr>
      <t>Ν</t>
    </r>
    <r>
      <rPr>
        <b/>
        <vertAlign val="subscript"/>
        <sz val="10"/>
        <color indexed="52"/>
        <rFont val="Arial"/>
        <family val="2"/>
        <charset val="161"/>
      </rPr>
      <t>2</t>
    </r>
    <r>
      <rPr>
        <b/>
        <sz val="10"/>
        <color indexed="52"/>
        <rFont val="Arial"/>
        <family val="2"/>
        <charset val="161"/>
      </rPr>
      <t>Ο</t>
    </r>
    <r>
      <rPr>
        <b/>
        <vertAlign val="subscript"/>
        <sz val="10"/>
        <color indexed="52"/>
        <rFont val="Arial"/>
        <family val="2"/>
        <charset val="161"/>
      </rPr>
      <t>4</t>
    </r>
    <r>
      <rPr>
        <b/>
        <sz val="10"/>
        <color indexed="52"/>
        <rFont val="Arial"/>
        <family val="2"/>
        <charset val="161"/>
      </rPr>
      <t>,</t>
    </r>
    <r>
      <rPr>
        <sz val="10"/>
        <color indexed="43"/>
        <rFont val="Arial"/>
        <family val="2"/>
      </rPr>
      <t xml:space="preserve"> που θα περι- έχεται στην </t>
    </r>
    <r>
      <rPr>
        <b/>
        <sz val="10"/>
        <color indexed="52"/>
        <rFont val="Arial"/>
        <family val="2"/>
        <charset val="161"/>
      </rPr>
      <t>τελική ΚΧΙ</t>
    </r>
    <r>
      <rPr>
        <sz val="10"/>
        <color indexed="43"/>
        <rFont val="Arial"/>
        <family val="2"/>
      </rPr>
      <t xml:space="preserve"> στο δοχείο, ισχύει η σχέση: </t>
    </r>
  </si>
  <si>
    <r>
      <t xml:space="preserve">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για την παραπάνω αντίδραση σε </t>
    </r>
    <r>
      <rPr>
        <b/>
        <sz val="10"/>
        <color indexed="52"/>
        <rFont val="Arial"/>
        <family val="2"/>
        <charset val="161"/>
      </rPr>
      <t>θ°C,</t>
    </r>
    <r>
      <rPr>
        <sz val="10"/>
        <color indexed="43"/>
        <rFont val="Arial"/>
        <family val="2"/>
      </rPr>
      <t xml:space="preserve"> είναι, </t>
    </r>
    <r>
      <rPr>
        <b/>
        <sz val="10"/>
        <color indexed="52"/>
        <rFont val="Arial"/>
        <family val="2"/>
        <charset val="161"/>
      </rPr>
      <t>(να μη γραφούν μονάδες για την K</t>
    </r>
    <r>
      <rPr>
        <b/>
        <vertAlign val="subscript"/>
        <sz val="10"/>
        <color indexed="52"/>
        <rFont val="Arial"/>
        <family val="2"/>
        <charset val="161"/>
      </rPr>
      <t>C</t>
    </r>
    <r>
      <rPr>
        <b/>
        <sz val="10"/>
        <color indexed="52"/>
        <rFont val="Arial"/>
        <family val="2"/>
        <charset val="161"/>
      </rPr>
      <t>):</t>
    </r>
  </si>
  <si>
    <r>
      <t>n</t>
    </r>
    <r>
      <rPr>
        <b/>
        <vertAlign val="subscript"/>
        <sz val="10"/>
        <color indexed="52"/>
        <rFont val="Arial"/>
        <family val="2"/>
      </rPr>
      <t>1</t>
    </r>
    <r>
      <rPr>
        <b/>
        <sz val="10"/>
        <color indexed="52"/>
        <rFont val="Arial"/>
        <family val="2"/>
      </rPr>
      <t>mol</t>
    </r>
  </si>
  <si>
    <r>
      <t>n</t>
    </r>
    <r>
      <rPr>
        <b/>
        <vertAlign val="subscript"/>
        <sz val="10"/>
        <color indexed="52"/>
        <rFont val="Arial"/>
        <family val="2"/>
      </rPr>
      <t>2</t>
    </r>
    <r>
      <rPr>
        <b/>
        <sz val="10"/>
        <color indexed="52"/>
        <rFont val="Arial"/>
        <family val="2"/>
      </rPr>
      <t>mol</t>
    </r>
  </si>
  <si>
    <r>
      <t>n</t>
    </r>
    <r>
      <rPr>
        <b/>
        <vertAlign val="subscript"/>
        <sz val="10"/>
        <color indexed="52"/>
        <rFont val="Arial"/>
        <family val="2"/>
      </rPr>
      <t>3</t>
    </r>
    <r>
      <rPr>
        <b/>
        <sz val="10"/>
        <color indexed="52"/>
        <rFont val="Arial"/>
        <family val="2"/>
      </rPr>
      <t>mol</t>
    </r>
  </si>
  <si>
    <r>
      <t>+n</t>
    </r>
    <r>
      <rPr>
        <b/>
        <vertAlign val="subscript"/>
        <sz val="10"/>
        <color indexed="52"/>
        <rFont val="Arial"/>
        <family val="2"/>
      </rPr>
      <t>1</t>
    </r>
    <r>
      <rPr>
        <b/>
        <sz val="10"/>
        <color indexed="52"/>
        <rFont val="Arial"/>
        <family val="2"/>
      </rPr>
      <t>mol</t>
    </r>
  </si>
  <si>
    <r>
      <t>+n</t>
    </r>
    <r>
      <rPr>
        <b/>
        <vertAlign val="subscript"/>
        <sz val="10"/>
        <color indexed="52"/>
        <rFont val="Arial"/>
        <family val="2"/>
      </rPr>
      <t>2</t>
    </r>
    <r>
      <rPr>
        <b/>
        <sz val="10"/>
        <color indexed="52"/>
        <rFont val="Arial"/>
        <family val="2"/>
      </rPr>
      <t>mol</t>
    </r>
  </si>
  <si>
    <r>
      <t>+n</t>
    </r>
    <r>
      <rPr>
        <b/>
        <vertAlign val="subscript"/>
        <sz val="10"/>
        <color indexed="52"/>
        <rFont val="Arial"/>
        <family val="2"/>
      </rPr>
      <t>3</t>
    </r>
    <r>
      <rPr>
        <b/>
        <sz val="10"/>
        <color indexed="52"/>
        <rFont val="Arial"/>
        <family val="2"/>
      </rPr>
      <t>mol</t>
    </r>
  </si>
  <si>
    <r>
      <t>2n</t>
    </r>
    <r>
      <rPr>
        <b/>
        <vertAlign val="subscript"/>
        <sz val="10"/>
        <color indexed="52"/>
        <rFont val="Arial"/>
        <family val="2"/>
      </rPr>
      <t>1</t>
    </r>
    <r>
      <rPr>
        <b/>
        <sz val="10"/>
        <color indexed="52"/>
        <rFont val="Arial"/>
        <family val="2"/>
      </rPr>
      <t>mol</t>
    </r>
  </si>
  <si>
    <r>
      <t>2n</t>
    </r>
    <r>
      <rPr>
        <b/>
        <vertAlign val="subscript"/>
        <sz val="10"/>
        <color indexed="52"/>
        <rFont val="Arial"/>
        <family val="2"/>
      </rPr>
      <t>2</t>
    </r>
    <r>
      <rPr>
        <b/>
        <sz val="10"/>
        <color indexed="52"/>
        <rFont val="Arial"/>
        <family val="2"/>
      </rPr>
      <t>mol</t>
    </r>
  </si>
  <si>
    <r>
      <t>2n</t>
    </r>
    <r>
      <rPr>
        <b/>
        <vertAlign val="subscript"/>
        <sz val="10"/>
        <color indexed="52"/>
        <rFont val="Arial"/>
        <family val="2"/>
      </rPr>
      <t>3</t>
    </r>
    <r>
      <rPr>
        <b/>
        <sz val="10"/>
        <color indexed="52"/>
        <rFont val="Arial"/>
        <family val="2"/>
      </rPr>
      <t>mol</t>
    </r>
  </si>
  <si>
    <r>
      <t xml:space="preserve">Στη νέα κατάσταση που διαμορφώνεται μετά τη μεταβο- λή που επιφέραμε, μεταξύ του πηλίκου της αντίδρασης </t>
    </r>
    <r>
      <rPr>
        <b/>
        <sz val="10"/>
        <color indexed="52"/>
        <rFont val="Arial"/>
        <family val="2"/>
        <charset val="161"/>
      </rPr>
      <t>Q</t>
    </r>
    <r>
      <rPr>
        <b/>
        <vertAlign val="subscript"/>
        <sz val="10"/>
        <color indexed="52"/>
        <rFont val="Arial"/>
        <family val="2"/>
        <charset val="161"/>
      </rPr>
      <t>C</t>
    </r>
    <r>
      <rPr>
        <sz val="10"/>
        <color indexed="43"/>
        <rFont val="Arial"/>
        <family val="2"/>
      </rPr>
      <t xml:space="preserve"> και της σταθεράς ΧΙ </t>
    </r>
    <r>
      <rPr>
        <b/>
        <sz val="10"/>
        <color indexed="52"/>
        <rFont val="Arial"/>
        <family val="2"/>
        <charset val="161"/>
      </rPr>
      <t>K</t>
    </r>
    <r>
      <rPr>
        <b/>
        <vertAlign val="subscript"/>
        <sz val="10"/>
        <color indexed="52"/>
        <rFont val="Arial"/>
        <family val="2"/>
        <charset val="161"/>
      </rPr>
      <t>C</t>
    </r>
    <r>
      <rPr>
        <b/>
        <sz val="10"/>
        <color indexed="52"/>
        <rFont val="Arial"/>
        <family val="2"/>
        <charset val="161"/>
      </rPr>
      <t>,</t>
    </r>
    <r>
      <rPr>
        <sz val="10"/>
        <color indexed="43"/>
        <rFont val="Arial"/>
        <family val="2"/>
      </rPr>
      <t xml:space="preserve"> ισχύει η σχέση:</t>
    </r>
  </si>
  <si>
    <r>
      <t xml:space="preserve">Για την </t>
    </r>
    <r>
      <rPr>
        <b/>
        <sz val="10"/>
        <color indexed="52"/>
        <rFont val="Arial"/>
        <family val="2"/>
        <charset val="161"/>
      </rPr>
      <t>τελική</t>
    </r>
    <r>
      <rPr>
        <b/>
        <sz val="10"/>
        <color indexed="43"/>
        <rFont val="Arial"/>
        <family val="2"/>
      </rPr>
      <t xml:space="preserve"> </t>
    </r>
    <r>
      <rPr>
        <sz val="10"/>
        <color indexed="43"/>
        <rFont val="Arial"/>
        <family val="2"/>
      </rPr>
      <t xml:space="preserve">ποσότητα, έστω </t>
    </r>
    <r>
      <rPr>
        <b/>
        <sz val="10"/>
        <color indexed="52"/>
        <rFont val="Arial"/>
        <family val="2"/>
        <charset val="161"/>
      </rPr>
      <t>"nmol"</t>
    </r>
    <r>
      <rPr>
        <sz val="10"/>
        <color indexed="43"/>
        <rFont val="Arial"/>
        <family val="2"/>
      </rPr>
      <t xml:space="preserve"> του </t>
    </r>
    <r>
      <rPr>
        <b/>
        <sz val="10"/>
        <color indexed="52"/>
        <rFont val="Arial"/>
        <family val="2"/>
        <charset val="161"/>
      </rPr>
      <t>ΗΙ,</t>
    </r>
    <r>
      <rPr>
        <sz val="10"/>
        <color indexed="43"/>
        <rFont val="Arial"/>
        <family val="2"/>
      </rPr>
      <t xml:space="preserve"> που θα περιέχεται στο χώρο όπου αποκαθίσταται η παραπάνω ΧΙ, θα ισχύει η σχέση:</t>
    </r>
  </si>
  <si>
    <r>
      <t xml:space="preserve">Για την </t>
    </r>
    <r>
      <rPr>
        <b/>
        <sz val="10"/>
        <color indexed="52"/>
        <rFont val="Arial"/>
        <family val="2"/>
        <charset val="161"/>
      </rPr>
      <t>τελική</t>
    </r>
    <r>
      <rPr>
        <b/>
        <sz val="10"/>
        <color indexed="43"/>
        <rFont val="Arial"/>
        <family val="2"/>
      </rPr>
      <t xml:space="preserve"> </t>
    </r>
    <r>
      <rPr>
        <sz val="10"/>
        <color indexed="43"/>
        <rFont val="Arial"/>
        <family val="2"/>
      </rPr>
      <t xml:space="preserve">ποσότητα, έστω </t>
    </r>
    <r>
      <rPr>
        <b/>
        <sz val="10"/>
        <color indexed="52"/>
        <rFont val="Arial"/>
        <family val="2"/>
        <charset val="161"/>
      </rPr>
      <t>"nmol"</t>
    </r>
    <r>
      <rPr>
        <sz val="10"/>
        <color indexed="43"/>
        <rFont val="Arial"/>
        <family val="2"/>
      </rPr>
      <t xml:space="preserve"> του </t>
    </r>
    <r>
      <rPr>
        <b/>
        <sz val="10"/>
        <color indexed="52"/>
        <rFont val="Arial"/>
        <family val="2"/>
        <charset val="161"/>
      </rPr>
      <t>CO,</t>
    </r>
    <r>
      <rPr>
        <sz val="10"/>
        <color indexed="43"/>
        <rFont val="Arial"/>
        <family val="2"/>
      </rPr>
      <t xml:space="preserve"> που θα περιέχεται στο χώρο όπου αποκαθίσταται η παραπάνω ΧΙ, θα ισχύει η σχέση:</t>
    </r>
  </si>
  <si>
    <r>
      <t xml:space="preserve">Για να είναι η </t>
    </r>
    <r>
      <rPr>
        <b/>
        <sz val="10"/>
        <color indexed="52"/>
        <rFont val="Arial"/>
        <family val="2"/>
        <charset val="161"/>
      </rPr>
      <t>νέα κατάσταση,</t>
    </r>
    <r>
      <rPr>
        <sz val="10"/>
        <color indexed="43"/>
        <rFont val="Arial"/>
        <family val="2"/>
      </rPr>
      <t xml:space="preserve"> όπως αυτή διαμορφώθη- κε μετά τις μεταβολές που επιφέραμε στην </t>
    </r>
    <r>
      <rPr>
        <b/>
        <sz val="10"/>
        <color indexed="52"/>
        <rFont val="Arial"/>
        <family val="2"/>
        <charset val="161"/>
      </rPr>
      <t>αρχική ΚΧΙ,</t>
    </r>
    <r>
      <rPr>
        <sz val="10"/>
        <color indexed="43"/>
        <rFont val="Arial"/>
        <family val="2"/>
      </rPr>
      <t xml:space="preserve"> </t>
    </r>
    <r>
      <rPr>
        <b/>
        <sz val="10"/>
        <color indexed="52"/>
        <rFont val="Arial"/>
        <family val="2"/>
        <charset val="161"/>
      </rPr>
      <t>κατάσταση ΧΙ,</t>
    </r>
    <r>
      <rPr>
        <sz val="10"/>
        <color indexed="43"/>
        <rFont val="Arial"/>
        <family val="2"/>
      </rPr>
      <t xml:space="preserve"> θα πρέπει να ισχύει η σχέση:</t>
    </r>
  </si>
  <si>
    <r>
      <t xml:space="preserve">Τα κενά κελιά στον παραπάνω πίνακα, πρέπει να συμπληρωθούν με συγκε-κριμένες ποσότητες που θα αναφέρονται στις αντίστοιχες ουσίες και θα είναι εκφρασμένες σε </t>
    </r>
    <r>
      <rPr>
        <b/>
        <sz val="10"/>
        <color indexed="52"/>
        <rFont val="Arial"/>
        <family val="2"/>
        <charset val="161"/>
      </rPr>
      <t>mol,</t>
    </r>
    <r>
      <rPr>
        <sz val="10"/>
        <color indexed="43"/>
        <rFont val="Arial"/>
        <family val="2"/>
        <charset val="161"/>
      </rPr>
      <t xml:space="preserve"> π.χ. </t>
    </r>
    <r>
      <rPr>
        <b/>
        <sz val="10"/>
        <color indexed="52"/>
        <rFont val="Arial"/>
        <family val="2"/>
        <charset val="161"/>
      </rPr>
      <t>"0,12mol"</t>
    </r>
    <r>
      <rPr>
        <b/>
        <sz val="10"/>
        <color indexed="43"/>
        <rFont val="Arial"/>
        <family val="2"/>
      </rPr>
      <t xml:space="preserve"> </t>
    </r>
    <r>
      <rPr>
        <b/>
        <sz val="10"/>
        <color indexed="52"/>
        <rFont val="Arial"/>
        <family val="2"/>
        <charset val="161"/>
      </rPr>
      <t>(2 δεκαδικά ψηφία)</t>
    </r>
    <r>
      <rPr>
        <b/>
        <sz val="10"/>
        <color indexed="43"/>
        <rFont val="Arial"/>
        <family val="2"/>
      </rPr>
      <t xml:space="preserve"> </t>
    </r>
    <r>
      <rPr>
        <sz val="10"/>
        <color indexed="43"/>
        <rFont val="Arial"/>
        <family val="2"/>
      </rPr>
      <t xml:space="preserve">και </t>
    </r>
    <r>
      <rPr>
        <b/>
        <sz val="10"/>
        <color indexed="52"/>
        <rFont val="Arial"/>
        <family val="2"/>
        <charset val="161"/>
      </rPr>
      <t>όχι</t>
    </r>
    <r>
      <rPr>
        <sz val="10"/>
        <color indexed="52"/>
        <rFont val="Arial"/>
        <family val="2"/>
        <charset val="161"/>
      </rPr>
      <t xml:space="preserve"> </t>
    </r>
    <r>
      <rPr>
        <b/>
        <sz val="10"/>
        <color indexed="52"/>
        <rFont val="Arial"/>
        <family val="2"/>
        <charset val="161"/>
      </rPr>
      <t>αόριστα π.χ. "xmol".</t>
    </r>
  </si>
  <si>
    <r>
      <t xml:space="preserve">Η τιμή της σταθεράς </t>
    </r>
    <r>
      <rPr>
        <b/>
        <sz val="10"/>
        <color indexed="52"/>
        <rFont val="Arial"/>
        <family val="2"/>
        <charset val="161"/>
      </rPr>
      <t>K</t>
    </r>
    <r>
      <rPr>
        <b/>
        <vertAlign val="subscript"/>
        <sz val="10"/>
        <color indexed="52"/>
        <rFont val="Arial"/>
        <family val="2"/>
        <charset val="161"/>
      </rPr>
      <t>C</t>
    </r>
    <r>
      <rPr>
        <sz val="10"/>
        <color indexed="52"/>
        <rFont val="Arial"/>
        <family val="2"/>
        <charset val="161"/>
      </rPr>
      <t xml:space="preserve"> </t>
    </r>
    <r>
      <rPr>
        <b/>
        <sz val="10"/>
        <color indexed="52"/>
        <rFont val="Arial"/>
        <family val="2"/>
        <charset val="161"/>
      </rPr>
      <t>(χωρίς μονάδες)</t>
    </r>
    <r>
      <rPr>
        <sz val="10"/>
        <color indexed="43"/>
        <rFont val="Arial"/>
        <family val="2"/>
      </rPr>
      <t xml:space="preserve"> για την αντί- δραση σύνθεσης του </t>
    </r>
    <r>
      <rPr>
        <b/>
        <sz val="10"/>
        <color indexed="52"/>
        <rFont val="Arial"/>
        <family val="2"/>
        <charset val="161"/>
      </rPr>
      <t>SO</t>
    </r>
    <r>
      <rPr>
        <b/>
        <vertAlign val="subscript"/>
        <sz val="10"/>
        <color indexed="52"/>
        <rFont val="Arial"/>
        <family val="2"/>
        <charset val="161"/>
      </rPr>
      <t>3</t>
    </r>
    <r>
      <rPr>
        <sz val="10"/>
        <color indexed="43"/>
        <rFont val="Arial"/>
        <family val="2"/>
      </rPr>
      <t xml:space="preserve"> από </t>
    </r>
    <r>
      <rPr>
        <b/>
        <sz val="10"/>
        <color indexed="52"/>
        <rFont val="Arial"/>
        <family val="2"/>
        <charset val="161"/>
      </rPr>
      <t>SO</t>
    </r>
    <r>
      <rPr>
        <b/>
        <vertAlign val="subscript"/>
        <sz val="10"/>
        <color indexed="52"/>
        <rFont val="Arial"/>
        <family val="2"/>
        <charset val="161"/>
      </rPr>
      <t>2</t>
    </r>
    <r>
      <rPr>
        <sz val="10"/>
        <color indexed="43"/>
        <rFont val="Arial"/>
        <family val="2"/>
      </rPr>
      <t xml:space="preserve"> και </t>
    </r>
    <r>
      <rPr>
        <b/>
        <sz val="10"/>
        <color indexed="52"/>
        <rFont val="Arial"/>
        <family val="2"/>
        <charset val="161"/>
      </rPr>
      <t>Ο</t>
    </r>
    <r>
      <rPr>
        <b/>
        <vertAlign val="subscript"/>
        <sz val="10"/>
        <color indexed="52"/>
        <rFont val="Arial"/>
        <family val="2"/>
        <charset val="161"/>
      </rPr>
      <t>2</t>
    </r>
    <r>
      <rPr>
        <sz val="10"/>
        <color indexed="43"/>
        <rFont val="Arial"/>
        <family val="2"/>
      </rPr>
      <t xml:space="preserve"> είναι:</t>
    </r>
  </si>
  <si>
    <r>
      <t xml:space="preserve">Η τιμή της σταθεράς </t>
    </r>
    <r>
      <rPr>
        <b/>
        <sz val="10"/>
        <color indexed="52"/>
        <rFont val="Arial"/>
        <family val="2"/>
        <charset val="161"/>
      </rPr>
      <t>K</t>
    </r>
    <r>
      <rPr>
        <b/>
        <vertAlign val="subscript"/>
        <sz val="10"/>
        <color indexed="52"/>
        <rFont val="Arial"/>
        <family val="2"/>
        <charset val="161"/>
      </rPr>
      <t>C</t>
    </r>
    <r>
      <rPr>
        <sz val="10"/>
        <color indexed="52"/>
        <rFont val="Arial"/>
        <family val="2"/>
        <charset val="161"/>
      </rPr>
      <t xml:space="preserve"> </t>
    </r>
    <r>
      <rPr>
        <b/>
        <sz val="10"/>
        <color indexed="52"/>
        <rFont val="Arial"/>
        <family val="2"/>
        <charset val="161"/>
      </rPr>
      <t>(χωρίς μονάδες)</t>
    </r>
    <r>
      <rPr>
        <sz val="10"/>
        <color indexed="43"/>
        <rFont val="Arial"/>
        <family val="2"/>
      </rPr>
      <t xml:space="preserve"> για την αντί- δραση διάσπασης του </t>
    </r>
    <r>
      <rPr>
        <b/>
        <sz val="10"/>
        <color indexed="52"/>
        <rFont val="Arial"/>
        <family val="2"/>
        <charset val="161"/>
      </rPr>
      <t>SO</t>
    </r>
    <r>
      <rPr>
        <b/>
        <vertAlign val="subscript"/>
        <sz val="10"/>
        <color indexed="52"/>
        <rFont val="Arial"/>
        <family val="2"/>
        <charset val="161"/>
      </rPr>
      <t>3</t>
    </r>
    <r>
      <rPr>
        <sz val="10"/>
        <color indexed="43"/>
        <rFont val="Arial"/>
        <family val="2"/>
      </rPr>
      <t xml:space="preserve"> σε </t>
    </r>
    <r>
      <rPr>
        <b/>
        <sz val="10"/>
        <color indexed="52"/>
        <rFont val="Arial"/>
        <family val="2"/>
        <charset val="161"/>
      </rPr>
      <t>SO</t>
    </r>
    <r>
      <rPr>
        <b/>
        <vertAlign val="subscript"/>
        <sz val="10"/>
        <color indexed="52"/>
        <rFont val="Arial"/>
        <family val="2"/>
        <charset val="161"/>
      </rPr>
      <t>2</t>
    </r>
    <r>
      <rPr>
        <sz val="10"/>
        <color indexed="43"/>
        <rFont val="Arial"/>
        <family val="2"/>
      </rPr>
      <t xml:space="preserve"> και </t>
    </r>
    <r>
      <rPr>
        <b/>
        <sz val="10"/>
        <color indexed="52"/>
        <rFont val="Arial"/>
        <family val="2"/>
        <charset val="161"/>
      </rPr>
      <t>Ο</t>
    </r>
    <r>
      <rPr>
        <b/>
        <vertAlign val="subscript"/>
        <sz val="10"/>
        <color indexed="52"/>
        <rFont val="Arial"/>
        <family val="2"/>
        <charset val="161"/>
      </rPr>
      <t>2</t>
    </r>
    <r>
      <rPr>
        <sz val="10"/>
        <color indexed="43"/>
        <rFont val="Arial"/>
        <family val="2"/>
      </rPr>
      <t xml:space="preserve"> είναι:</t>
    </r>
  </si>
  <si>
    <r>
      <t xml:space="preserve">Δίνεται ότι το αέριο μίγμα που έχει σχηματιστεί στην </t>
    </r>
    <r>
      <rPr>
        <b/>
        <sz val="10"/>
        <color indexed="52"/>
        <rFont val="Arial"/>
        <family val="2"/>
        <charset val="161"/>
      </rPr>
      <t>ΚΧΙ,</t>
    </r>
    <r>
      <rPr>
        <sz val="10"/>
        <color indexed="43"/>
        <rFont val="Arial"/>
        <family val="2"/>
        <charset val="161"/>
      </rPr>
      <t xml:space="preserve"> έχει πυ- κνότητα </t>
    </r>
    <r>
      <rPr>
        <b/>
        <sz val="10"/>
        <color indexed="52"/>
        <rFont val="Arial"/>
        <family val="2"/>
        <charset val="161"/>
      </rPr>
      <t>ρ=1,98g/L,</t>
    </r>
    <r>
      <rPr>
        <sz val="10"/>
        <color indexed="43"/>
        <rFont val="Arial"/>
        <family val="2"/>
        <charset val="161"/>
      </rPr>
      <t xml:space="preserve"> ενώ 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charset val="161"/>
      </rPr>
      <t xml:space="preserve"> για την παραπάνω </t>
    </r>
    <r>
      <rPr>
        <b/>
        <sz val="10"/>
        <color indexed="52"/>
        <rFont val="Arial"/>
        <family val="2"/>
        <charset val="161"/>
      </rPr>
      <t>ΧΙ,</t>
    </r>
    <r>
      <rPr>
        <sz val="10"/>
        <color indexed="43"/>
        <rFont val="Arial"/>
        <family val="2"/>
        <charset val="161"/>
      </rPr>
      <t xml:space="preserve"> στους </t>
    </r>
    <r>
      <rPr>
        <b/>
        <sz val="10"/>
        <color indexed="52"/>
        <rFont val="Arial"/>
        <family val="2"/>
        <charset val="161"/>
      </rPr>
      <t>θ°C,</t>
    </r>
    <r>
      <rPr>
        <sz val="10"/>
        <color indexed="43"/>
        <rFont val="Arial"/>
        <family val="2"/>
        <charset val="161"/>
      </rPr>
      <t xml:space="preserve"> είναι </t>
    </r>
    <r>
      <rPr>
        <b/>
        <sz val="10"/>
        <color indexed="52"/>
        <rFont val="Arial"/>
        <family val="2"/>
        <charset val="161"/>
      </rPr>
      <t>0,018.</t>
    </r>
  </si>
  <si>
    <r>
      <t xml:space="preserve">Η τιμή του συντελεστή απόδοσης </t>
    </r>
    <r>
      <rPr>
        <b/>
        <sz val="10"/>
        <color indexed="52"/>
        <rFont val="Arial"/>
        <family val="2"/>
        <charset val="161"/>
      </rPr>
      <t>a,</t>
    </r>
    <r>
      <rPr>
        <sz val="10"/>
        <color indexed="43"/>
        <rFont val="Arial"/>
        <family val="2"/>
      </rPr>
      <t xml:space="preserve"> για την παραπάνω </t>
    </r>
    <r>
      <rPr>
        <b/>
        <sz val="10"/>
        <color indexed="52"/>
        <rFont val="Arial"/>
        <family val="2"/>
        <charset val="161"/>
      </rPr>
      <t>ΧΙ,</t>
    </r>
    <r>
      <rPr>
        <sz val="10"/>
        <color indexed="43"/>
        <rFont val="Arial"/>
        <family val="2"/>
      </rPr>
      <t xml:space="preserve"> στους </t>
    </r>
    <r>
      <rPr>
        <b/>
        <sz val="10"/>
        <color indexed="52"/>
        <rFont val="Arial"/>
        <family val="2"/>
        <charset val="161"/>
      </rPr>
      <t>θ°C,</t>
    </r>
    <r>
      <rPr>
        <sz val="10"/>
        <color indexed="43"/>
        <rFont val="Arial"/>
        <family val="2"/>
      </rPr>
      <t xml:space="preserve"> είναι:</t>
    </r>
  </si>
  <si>
    <r>
      <t xml:space="preserve">  αρχικά</t>
    </r>
    <r>
      <rPr>
        <sz val="8"/>
        <color indexed="43"/>
        <rFont val="Wingdings 2"/>
        <family val="1"/>
        <charset val="2"/>
      </rPr>
      <t>ã</t>
    </r>
  </si>
  <si>
    <r>
      <t>Πάντα</t>
    </r>
    <r>
      <rPr>
        <sz val="9"/>
        <color indexed="43"/>
        <rFont val="Arial"/>
        <family val="2"/>
      </rPr>
      <t xml:space="preserve"> να λαμβάνεται</t>
    </r>
    <r>
      <rPr>
        <b/>
        <sz val="9"/>
        <color indexed="43"/>
        <rFont val="Arial"/>
        <family val="2"/>
      </rPr>
      <t xml:space="preserve"> R=0,082L·atm/mol·K.</t>
    </r>
  </si>
  <si>
    <r>
      <t>H</t>
    </r>
    <r>
      <rPr>
        <b/>
        <vertAlign val="subscript"/>
        <sz val="11"/>
        <color indexed="43"/>
        <rFont val="Arial"/>
        <family val="2"/>
      </rPr>
      <t>2(g)</t>
    </r>
  </si>
  <si>
    <r>
      <t>I</t>
    </r>
    <r>
      <rPr>
        <b/>
        <vertAlign val="subscript"/>
        <sz val="11"/>
        <color indexed="43"/>
        <rFont val="Arial"/>
        <family val="2"/>
      </rPr>
      <t>2(g)</t>
    </r>
  </si>
  <si>
    <t>x=0,48</t>
  </si>
  <si>
    <t xml:space="preserve"> Û</t>
  </si>
  <si>
    <t xml:space="preserve">  Þ</t>
  </si>
  <si>
    <t xml:space="preserve"> ή</t>
  </si>
  <si>
    <t xml:space="preserve">  ΚΧΙ</t>
  </si>
  <si>
    <t xml:space="preserve">  Û</t>
  </si>
  <si>
    <t>1,8mol</t>
  </si>
  <si>
    <t>5,4mol</t>
  </si>
  <si>
    <t>3,6mol</t>
  </si>
  <si>
    <t>3,2mol</t>
  </si>
  <si>
    <t>ΚΧΙ:</t>
  </si>
  <si>
    <t xml:space="preserve">    3,6mol</t>
  </si>
  <si>
    <t xml:space="preserve">     6mol</t>
  </si>
  <si>
    <t xml:space="preserve">    1,8mol</t>
  </si>
  <si>
    <t xml:space="preserve">    5,4mol</t>
  </si>
  <si>
    <t xml:space="preserve">     9mol</t>
  </si>
  <si>
    <t xml:space="preserve">       4mol</t>
  </si>
  <si>
    <t xml:space="preserve">    6mol</t>
  </si>
  <si>
    <t xml:space="preserve">    4mol</t>
  </si>
  <si>
    <t xml:space="preserve"> 8mol</t>
  </si>
  <si>
    <t xml:space="preserve">    2mol</t>
  </si>
  <si>
    <t>Η τιμή του βαθμού διάσπασης του φωσγένιου είναι:</t>
  </si>
  <si>
    <t>Το ποσοστό διάσπασης του φωσγένιου είναι:</t>
  </si>
  <si>
    <t>καμπύλη 2</t>
  </si>
  <si>
    <t>n&lt;0,30</t>
  </si>
  <si>
    <t>n=0,30</t>
  </si>
  <si>
    <t>ΚΧΙ
θ°C</t>
  </si>
  <si>
    <t>1.</t>
  </si>
  <si>
    <t xml:space="preserve">Η αμφίδρομη αντίδραση σχηματισμού της αμμωνίας από άζωτο και υδρογόνο παριστάνε- ται από την ακόλουθη χημική εξίσωση: </t>
  </si>
  <si>
    <t>α.</t>
  </si>
  <si>
    <t>β.</t>
  </si>
  <si>
    <t>γ.</t>
  </si>
  <si>
    <t>δ.</t>
  </si>
  <si>
    <t>2.</t>
  </si>
  <si>
    <t>Το ίδιο να γίνει και για την ακόλουθη χημική εξίσωση:</t>
  </si>
  <si>
    <t>3.</t>
  </si>
  <si>
    <t>4.</t>
  </si>
  <si>
    <t>J</t>
  </si>
  <si>
    <t>L</t>
  </si>
  <si>
    <t>5.</t>
  </si>
  <si>
    <t>+</t>
  </si>
  <si>
    <t>"</t>
  </si>
  <si>
    <t>0,3mol</t>
  </si>
  <si>
    <t>0,4mol</t>
  </si>
  <si>
    <t>Χημικός τύπος αντιδρώντος που βρίσκεται σε περίσσεια:</t>
  </si>
  <si>
    <t>0,32mol</t>
  </si>
  <si>
    <t>0,15mol</t>
  </si>
  <si>
    <t>0,24mol</t>
  </si>
  <si>
    <t>0,25mol</t>
  </si>
  <si>
    <t>1,5g</t>
  </si>
  <si>
    <t>0,5mol</t>
  </si>
  <si>
    <t>0,18mol</t>
  </si>
  <si>
    <t>0,48mol</t>
  </si>
  <si>
    <t>ε.</t>
  </si>
  <si>
    <t>στ.</t>
  </si>
  <si>
    <t>0,12mol</t>
  </si>
  <si>
    <t>6.</t>
  </si>
  <si>
    <t>D</t>
  </si>
  <si>
    <t>αρχικά</t>
  </si>
  <si>
    <t>παρ/θηκαν</t>
  </si>
  <si>
    <t>ΚΧΙ</t>
  </si>
  <si>
    <t>αντέδρασαν</t>
  </si>
  <si>
    <t>6mol</t>
  </si>
  <si>
    <t>4mol</t>
  </si>
  <si>
    <t>4,8mol</t>
  </si>
  <si>
    <t xml:space="preserve">    θ°C</t>
  </si>
  <si>
    <t>1,6mol</t>
  </si>
  <si>
    <t xml:space="preserve">          ΚΧΙ</t>
  </si>
  <si>
    <t>nmol</t>
  </si>
  <si>
    <t>2xmol</t>
  </si>
  <si>
    <t>xmol</t>
  </si>
  <si>
    <t xml:space="preserve">    27°C</t>
  </si>
  <si>
    <t xml:space="preserve">  αρχικά</t>
  </si>
  <si>
    <t>1,4mol</t>
  </si>
  <si>
    <t>anmol</t>
  </si>
  <si>
    <t>n(1-a)mol</t>
  </si>
  <si>
    <t>ζ.</t>
  </si>
  <si>
    <t>7.</t>
  </si>
  <si>
    <t>Αποτέλεσμα</t>
  </si>
  <si>
    <t>γ</t>
  </si>
  <si>
    <t>ΔΗ=+52kJ</t>
  </si>
  <si>
    <t>Γίνεται φανερό από τα παραπάνω ότι κάποια στιγμή οι τιμές της ταχύτητας και για τις δυο αντιδράσεις θα εξισωθούν, όπως φαίνεται και στο παρακάτω σχήμα.</t>
  </si>
  <si>
    <t>ΔΗ&gt;0</t>
  </si>
  <si>
    <t>8.</t>
  </si>
  <si>
    <t>αρχ. ΚΧΙ</t>
  </si>
  <si>
    <t>0,6mol</t>
  </si>
  <si>
    <t>0,2mol</t>
  </si>
  <si>
    <t>προσθέτ.</t>
  </si>
  <si>
    <t>τελ. ΚΧΙ</t>
  </si>
  <si>
    <t>2mol</t>
  </si>
  <si>
    <t>5mol</t>
  </si>
  <si>
    <t>προκαλούμε αλλαγή θερμοκρασίας</t>
  </si>
  <si>
    <t xml:space="preserve">  αρχ. ΚΧΙ</t>
  </si>
  <si>
    <t>0,8mol</t>
  </si>
  <si>
    <t>ΔΗ&lt;0</t>
  </si>
  <si>
    <t xml:space="preserve"> C(M)</t>
  </si>
  <si>
    <t>t</t>
  </si>
  <si>
    <t>καμπύλη 1</t>
  </si>
  <si>
    <t>9.</t>
  </si>
  <si>
    <t>0,30mol</t>
  </si>
  <si>
    <t>μεταβολές</t>
  </si>
  <si>
    <t>0,05mol</t>
  </si>
  <si>
    <t>1. προσθέτ.</t>
  </si>
  <si>
    <t>2. συμπίεση</t>
  </si>
  <si>
    <t>νέα κατάστ.</t>
  </si>
  <si>
    <t>n&gt;0,30</t>
  </si>
  <si>
    <t>διπλ/σμός όλων των ποσοτήτων</t>
  </si>
  <si>
    <t>ωmol</t>
  </si>
  <si>
    <t>(0,4+ω)mol</t>
  </si>
  <si>
    <t>ω=0,6</t>
  </si>
  <si>
    <t>1mol</t>
  </si>
  <si>
    <t>0,75mol</t>
  </si>
  <si>
    <t>0,40mol</t>
  </si>
  <si>
    <t>0,10mol</t>
  </si>
  <si>
    <r>
      <t xml:space="preserve">Άμεση συνέπεια των παραπάνω είναι ότι η ποσότητα των </t>
    </r>
    <r>
      <rPr>
        <b/>
        <sz val="10"/>
        <color indexed="52"/>
        <rFont val="Arial"/>
        <family val="2"/>
        <charset val="161"/>
      </rPr>
      <t>"αντιδρώντων"</t>
    </r>
    <r>
      <rPr>
        <sz val="10"/>
        <color indexed="43"/>
        <rFont val="Arial"/>
        <family val="2"/>
        <charset val="161"/>
      </rPr>
      <t xml:space="preserve"> θα αυξάνεται με την πα-ρέλευση του χρόνου, ενώ η ποσότητα των </t>
    </r>
    <r>
      <rPr>
        <b/>
        <sz val="10"/>
        <color indexed="52"/>
        <rFont val="Arial"/>
        <family val="2"/>
        <charset val="161"/>
      </rPr>
      <t>"προϊόντων"</t>
    </r>
    <r>
      <rPr>
        <sz val="10"/>
        <color indexed="43"/>
        <rFont val="Arial"/>
        <family val="2"/>
        <charset val="161"/>
      </rPr>
      <t xml:space="preserve"> θα μειώνεται, οπότε η ταχύτητα </t>
    </r>
    <r>
      <rPr>
        <b/>
        <sz val="10"/>
        <color indexed="52"/>
        <rFont val="Arial"/>
        <family val="2"/>
        <charset val="161"/>
      </rPr>
      <t>"υ</t>
    </r>
    <r>
      <rPr>
        <b/>
        <vertAlign val="subscript"/>
        <sz val="10"/>
        <color indexed="52"/>
        <rFont val="Arial"/>
        <family val="2"/>
        <charset val="161"/>
      </rPr>
      <t>1</t>
    </r>
    <r>
      <rPr>
        <b/>
        <sz val="10"/>
        <color indexed="52"/>
        <rFont val="Arial"/>
        <family val="2"/>
        <charset val="161"/>
      </rPr>
      <t>"</t>
    </r>
    <r>
      <rPr>
        <sz val="10"/>
        <color indexed="43"/>
        <rFont val="Arial"/>
        <family val="2"/>
        <charset val="161"/>
      </rPr>
      <t xml:space="preserve"> θα αυξάνεται και η </t>
    </r>
    <r>
      <rPr>
        <b/>
        <sz val="10"/>
        <color indexed="52"/>
        <rFont val="Arial"/>
        <family val="2"/>
        <charset val="161"/>
      </rPr>
      <t>"υ</t>
    </r>
    <r>
      <rPr>
        <b/>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θα μειώνεται, με αποτέλεσμα κάποια στιγμή να εξισωθούν, οπότε θα έχει α-ποκατασταθεί χημική ισορροπία. Επειδή στην περίπτωση αυτή, μέχρι να αποκατασταθεί η ισορρο-πία, η αντίδραση γινόταν προς τα αριστερά γρηγορότερα απ' ότι προς τα δεξιά, οι ποσότητες των αντιδρώντων που θα υπάρχουν στο χώρο της αντίδρασης τελικά, θα είναι μεγαλύτερες από τις αρχι-κές και για το λόγο αυτό λέμε ότι </t>
    </r>
    <r>
      <rPr>
        <b/>
        <sz val="10"/>
        <color indexed="52"/>
        <rFont val="Arial"/>
        <family val="2"/>
        <charset val="161"/>
      </rPr>
      <t>η αντίοδραση κινήθηκε προς τα αριστερά</t>
    </r>
    <r>
      <rPr>
        <sz val="10"/>
        <color indexed="43"/>
        <rFont val="Arial"/>
        <family val="2"/>
      </rPr>
      <t xml:space="preserve"> </t>
    </r>
    <r>
      <rPr>
        <sz val="10"/>
        <color indexed="43"/>
        <rFont val="Arial"/>
        <family val="2"/>
        <charset val="161"/>
      </rPr>
      <t xml:space="preserve">για να επιτευχθεί η αποκατάσταση της χημικής ισορροπίας. Μπορούμε δηλαδή να πούμε ότι ισχύουν οι παρακάτω προτάσεις... </t>
    </r>
  </si>
  <si>
    <r>
      <t xml:space="preserve">Στην </t>
    </r>
    <r>
      <rPr>
        <b/>
        <sz val="10"/>
        <color indexed="16"/>
        <rFont val="Arial"/>
        <family val="2"/>
        <charset val="161"/>
      </rPr>
      <t>1η περίπτωση</t>
    </r>
    <r>
      <rPr>
        <sz val="10"/>
        <color indexed="43"/>
        <rFont val="Arial"/>
        <family val="2"/>
        <charset val="161"/>
      </rPr>
      <t xml:space="preserve"> ισοδύναμα θα έχουμε…</t>
    </r>
  </si>
  <si>
    <r>
      <t xml:space="preserve">Σε κενό κλειστό δοχείο βρίσκονται σε </t>
    </r>
    <r>
      <rPr>
        <b/>
        <sz val="10"/>
        <color indexed="52"/>
        <rFont val="Arial"/>
        <family val="2"/>
        <charset val="161"/>
      </rPr>
      <t>ΚΧΙ</t>
    </r>
    <r>
      <rPr>
        <sz val="10"/>
        <color indexed="52"/>
        <rFont val="Arial"/>
        <family val="2"/>
        <charset val="161"/>
      </rPr>
      <t xml:space="preserve"> </t>
    </r>
    <r>
      <rPr>
        <b/>
        <sz val="10"/>
        <color indexed="52"/>
        <rFont val="Arial"/>
        <family val="2"/>
        <charset val="161"/>
      </rPr>
      <t>0,5mol H</t>
    </r>
    <r>
      <rPr>
        <b/>
        <vertAlign val="subscript"/>
        <sz val="10"/>
        <color indexed="52"/>
        <rFont val="Arial"/>
        <family val="2"/>
        <charset val="161"/>
      </rPr>
      <t>2</t>
    </r>
    <r>
      <rPr>
        <b/>
        <sz val="10"/>
        <color indexed="52"/>
        <rFont val="Arial"/>
        <family val="2"/>
        <charset val="161"/>
      </rPr>
      <t>, 2mol I</t>
    </r>
    <r>
      <rPr>
        <b/>
        <vertAlign val="subscript"/>
        <sz val="10"/>
        <color indexed="52"/>
        <rFont val="Arial"/>
        <family val="2"/>
        <charset val="161"/>
      </rPr>
      <t>2</t>
    </r>
    <r>
      <rPr>
        <sz val="10"/>
        <color indexed="43"/>
        <rFont val="Arial"/>
        <family val="2"/>
      </rPr>
      <t xml:space="preserve"> και </t>
    </r>
    <r>
      <rPr>
        <b/>
        <sz val="10"/>
        <color indexed="52"/>
        <rFont val="Arial"/>
        <family val="2"/>
        <charset val="161"/>
      </rPr>
      <t>3mol HI,</t>
    </r>
    <r>
      <rPr>
        <sz val="10"/>
        <color indexed="43"/>
        <rFont val="Arial"/>
        <family val="2"/>
      </rPr>
      <t xml:space="preserve"> όλα στην αέρια κα-τάσταση, σε </t>
    </r>
    <r>
      <rPr>
        <b/>
        <sz val="10"/>
        <color indexed="52"/>
        <rFont val="Arial"/>
        <family val="2"/>
        <charset val="161"/>
      </rPr>
      <t>θ°C,</t>
    </r>
    <r>
      <rPr>
        <b/>
        <sz val="10"/>
        <color indexed="43"/>
        <rFont val="Arial"/>
        <family val="2"/>
      </rPr>
      <t xml:space="preserve"> </t>
    </r>
    <r>
      <rPr>
        <sz val="10"/>
        <color indexed="43"/>
        <rFont val="Arial"/>
        <family val="2"/>
      </rPr>
      <t xml:space="preserve">σύμφωνα με την ακόλουθη χημική εξίσωση... </t>
    </r>
  </si>
  <si>
    <r>
      <t>H</t>
    </r>
    <r>
      <rPr>
        <b/>
        <vertAlign val="subscript"/>
        <sz val="18"/>
        <color indexed="41"/>
        <rFont val="Arial"/>
        <family val="2"/>
      </rPr>
      <t>2</t>
    </r>
    <r>
      <rPr>
        <b/>
        <sz val="18"/>
        <color indexed="41"/>
        <rFont val="Arial"/>
        <family val="2"/>
      </rPr>
      <t xml:space="preserve">   </t>
    </r>
    <r>
      <rPr>
        <b/>
        <sz val="18"/>
        <color indexed="10"/>
        <rFont val="Arial"/>
        <family val="2"/>
        <charset val="161"/>
      </rPr>
      <t>+</t>
    </r>
    <r>
      <rPr>
        <b/>
        <sz val="18"/>
        <color indexed="41"/>
        <rFont val="Arial"/>
        <family val="2"/>
      </rPr>
      <t xml:space="preserve">   I</t>
    </r>
    <r>
      <rPr>
        <b/>
        <vertAlign val="subscript"/>
        <sz val="18"/>
        <color indexed="41"/>
        <rFont val="Arial"/>
        <family val="2"/>
      </rPr>
      <t>2</t>
    </r>
    <r>
      <rPr>
        <b/>
        <sz val="18"/>
        <color indexed="41"/>
        <rFont val="Arial"/>
        <family val="2"/>
      </rPr>
      <t xml:space="preserve">   </t>
    </r>
    <r>
      <rPr>
        <b/>
        <sz val="18"/>
        <color indexed="10"/>
        <rFont val="Wingdings 3"/>
        <family val="1"/>
        <charset val="2"/>
      </rPr>
      <t>D</t>
    </r>
    <r>
      <rPr>
        <b/>
        <sz val="18"/>
        <color indexed="41"/>
        <rFont val="Arial"/>
        <family val="2"/>
      </rPr>
      <t xml:space="preserve">   </t>
    </r>
    <r>
      <rPr>
        <b/>
        <sz val="18"/>
        <color indexed="53"/>
        <rFont val="Arial"/>
        <family val="2"/>
        <charset val="161"/>
      </rPr>
      <t>2</t>
    </r>
    <r>
      <rPr>
        <b/>
        <sz val="18"/>
        <color indexed="41"/>
        <rFont val="Arial"/>
        <family val="2"/>
      </rPr>
      <t>HI</t>
    </r>
  </si>
  <si>
    <r>
      <t xml:space="preserve">Να υπολογιστεί 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για την παραπάνω αμφίδρομη αντίδραση, στους </t>
    </r>
    <r>
      <rPr>
        <b/>
        <sz val="10"/>
        <color indexed="52"/>
        <rFont val="Arial"/>
        <family val="2"/>
        <charset val="161"/>
      </rPr>
      <t>θ°C.</t>
    </r>
  </si>
  <si>
    <r>
      <t xml:space="preserve">  H</t>
    </r>
    <r>
      <rPr>
        <b/>
        <vertAlign val="subscript"/>
        <sz val="18"/>
        <color indexed="41"/>
        <rFont val="Arial"/>
        <family val="2"/>
      </rPr>
      <t>2</t>
    </r>
    <r>
      <rPr>
        <b/>
        <sz val="18"/>
        <color indexed="41"/>
        <rFont val="Arial"/>
        <family val="2"/>
      </rPr>
      <t xml:space="preserve"> </t>
    </r>
    <r>
      <rPr>
        <b/>
        <sz val="18"/>
        <color indexed="10"/>
        <rFont val="Arial"/>
        <family val="2"/>
        <charset val="161"/>
      </rPr>
      <t>+</t>
    </r>
    <r>
      <rPr>
        <b/>
        <sz val="18"/>
        <color indexed="41"/>
        <rFont val="Arial"/>
        <family val="2"/>
      </rPr>
      <t xml:space="preserve">  I</t>
    </r>
    <r>
      <rPr>
        <b/>
        <vertAlign val="subscript"/>
        <sz val="18"/>
        <color indexed="41"/>
        <rFont val="Arial"/>
        <family val="2"/>
      </rPr>
      <t>2</t>
    </r>
    <r>
      <rPr>
        <b/>
        <sz val="18"/>
        <color indexed="41"/>
        <rFont val="Arial"/>
        <family val="2"/>
      </rPr>
      <t xml:space="preserve">   </t>
    </r>
    <r>
      <rPr>
        <b/>
        <sz val="18"/>
        <color indexed="10"/>
        <rFont val="Wingdings 3"/>
        <family val="1"/>
        <charset val="2"/>
      </rPr>
      <t>D</t>
    </r>
    <r>
      <rPr>
        <b/>
        <sz val="18"/>
        <color indexed="41"/>
        <rFont val="Arial"/>
        <family val="2"/>
      </rPr>
      <t xml:space="preserve">  </t>
    </r>
    <r>
      <rPr>
        <b/>
        <sz val="18"/>
        <color indexed="53"/>
        <rFont val="Arial"/>
        <family val="2"/>
        <charset val="161"/>
      </rPr>
      <t>2</t>
    </r>
    <r>
      <rPr>
        <b/>
        <sz val="18"/>
        <color indexed="41"/>
        <rFont val="Arial"/>
        <family val="2"/>
      </rPr>
      <t>HI</t>
    </r>
  </si>
  <si>
    <t>Για την τελική ΚΧΙ εφαρμόζουμε πάλι το νόμο της χημικής ισορροπίας και έχουμε…</t>
  </si>
  <si>
    <t>Στην τελευταία ισότητα, η εντός της παρένθεσης περιεχόμενη κλασματική ποσότητα δεν είναι δυνα-τό να είναι αρνητική, επειδή ο αριθμητής αλλά και ο παρονομαστής του κλάσματος εκφράζουν πο-σότητες χημικών ουσιών, που δεν έχει νόημα να είναι αρνητικές. Κατά συνέπεια από τον αποτετρα-γωνισμό αυτής της ισότητας, θα πάρουμε...</t>
  </si>
  <si>
    <t xml:space="preserve">ΑΠΟΔΟΣΗ ΑΜΦΙΔΡΟΜΗΣ ΑΝΤΊΔΡΑΣΗΣ </t>
  </si>
  <si>
    <r>
      <t xml:space="preserve">Για να προσεγγίσουμε την έννοια της απόδοσης μιας αμφίδρομης αντίδρασης, ας θεωρήσουμε ότι σε ένα κενό κλειστό δοχείο εισάγεται ορισμένη ποσότητα </t>
    </r>
    <r>
      <rPr>
        <b/>
        <sz val="10"/>
        <color indexed="52"/>
        <rFont val="Arial"/>
        <family val="2"/>
        <charset val="161"/>
      </rPr>
      <t>αζώτου (Ν</t>
    </r>
    <r>
      <rPr>
        <b/>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και </t>
    </r>
    <r>
      <rPr>
        <b/>
        <sz val="10"/>
        <color indexed="52"/>
        <rFont val="Arial"/>
        <family val="2"/>
        <charset val="161"/>
      </rPr>
      <t>υδρογόνου (Η</t>
    </r>
    <r>
      <rPr>
        <b/>
        <vertAlign val="subscript"/>
        <sz val="10"/>
        <color indexed="52"/>
        <rFont val="Arial"/>
        <family val="2"/>
        <charset val="161"/>
      </rPr>
      <t>2</t>
    </r>
    <r>
      <rPr>
        <b/>
        <sz val="10"/>
        <color indexed="52"/>
        <rFont val="Arial"/>
        <family val="2"/>
        <charset val="161"/>
      </rPr>
      <t>),</t>
    </r>
    <r>
      <rPr>
        <b/>
        <sz val="10"/>
        <color indexed="43"/>
        <rFont val="Arial"/>
        <family val="2"/>
      </rPr>
      <t xml:space="preserve"> </t>
    </r>
    <r>
      <rPr>
        <sz val="10"/>
        <color indexed="43"/>
        <rFont val="Arial"/>
        <family val="2"/>
        <charset val="161"/>
      </rPr>
      <t xml:space="preserve">που αρχίζουν και αντιδρούν αμφίδρομα, σε ορισμένη θερμοκρασία, σχηματίζοντας </t>
    </r>
    <r>
      <rPr>
        <b/>
        <sz val="10"/>
        <color indexed="52"/>
        <rFont val="Arial"/>
        <family val="2"/>
        <charset val="161"/>
      </rPr>
      <t>αμμωνία (ΝΗ</t>
    </r>
    <r>
      <rPr>
        <b/>
        <vertAlign val="subscript"/>
        <sz val="10"/>
        <color indexed="52"/>
        <rFont val="Arial"/>
        <family val="2"/>
        <charset val="161"/>
      </rPr>
      <t>3</t>
    </r>
    <r>
      <rPr>
        <b/>
        <sz val="10"/>
        <color indexed="52"/>
        <rFont val="Arial"/>
        <family val="2"/>
        <charset val="161"/>
      </rPr>
      <t>),</t>
    </r>
    <r>
      <rPr>
        <sz val="10"/>
        <color indexed="43"/>
        <rFont val="Arial"/>
        <family val="2"/>
        <charset val="161"/>
      </rPr>
      <t xml:space="preserve"> κατά το ακόλουθο σχήμα...</t>
    </r>
  </si>
  <si>
    <r>
      <t xml:space="preserve">      Ν</t>
    </r>
    <r>
      <rPr>
        <b/>
        <vertAlign val="subscript"/>
        <sz val="16"/>
        <color indexed="41"/>
        <rFont val="Arial"/>
        <family val="2"/>
      </rPr>
      <t>2(g)</t>
    </r>
    <r>
      <rPr>
        <b/>
        <sz val="16"/>
        <color indexed="41"/>
        <rFont val="Arial"/>
        <family val="2"/>
      </rPr>
      <t xml:space="preserve">    </t>
    </r>
    <r>
      <rPr>
        <b/>
        <sz val="16"/>
        <color indexed="10"/>
        <rFont val="Arial"/>
        <family val="2"/>
        <charset val="161"/>
      </rPr>
      <t>+</t>
    </r>
    <r>
      <rPr>
        <b/>
        <sz val="16"/>
        <color indexed="41"/>
        <rFont val="Arial"/>
        <family val="2"/>
      </rPr>
      <t xml:space="preserve">    </t>
    </r>
    <r>
      <rPr>
        <b/>
        <sz val="16"/>
        <color indexed="53"/>
        <rFont val="Arial"/>
        <family val="2"/>
        <charset val="161"/>
      </rPr>
      <t>3</t>
    </r>
    <r>
      <rPr>
        <b/>
        <sz val="16"/>
        <color indexed="41"/>
        <rFont val="Arial"/>
        <family val="2"/>
      </rPr>
      <t>Η</t>
    </r>
    <r>
      <rPr>
        <b/>
        <vertAlign val="subscript"/>
        <sz val="16"/>
        <color indexed="41"/>
        <rFont val="Arial"/>
        <family val="2"/>
      </rPr>
      <t>2(g)</t>
    </r>
    <r>
      <rPr>
        <b/>
        <sz val="16"/>
        <color indexed="41"/>
        <rFont val="Arial"/>
        <family val="2"/>
      </rPr>
      <t xml:space="preserve">    </t>
    </r>
    <r>
      <rPr>
        <b/>
        <sz val="16"/>
        <color indexed="10"/>
        <rFont val="Wingdings 3"/>
        <family val="1"/>
        <charset val="2"/>
      </rPr>
      <t>D</t>
    </r>
    <r>
      <rPr>
        <b/>
        <sz val="16"/>
        <color indexed="41"/>
        <rFont val="Arial"/>
        <family val="2"/>
      </rPr>
      <t xml:space="preserve">    </t>
    </r>
    <r>
      <rPr>
        <b/>
        <sz val="16"/>
        <color indexed="53"/>
        <rFont val="Arial"/>
        <family val="2"/>
        <charset val="161"/>
      </rPr>
      <t>2</t>
    </r>
    <r>
      <rPr>
        <b/>
        <sz val="16"/>
        <color indexed="41"/>
        <rFont val="Arial"/>
        <family val="2"/>
      </rPr>
      <t>ΝΗ</t>
    </r>
    <r>
      <rPr>
        <b/>
        <vertAlign val="subscript"/>
        <sz val="16"/>
        <color indexed="41"/>
        <rFont val="Arial"/>
        <family val="2"/>
      </rPr>
      <t>3(g)</t>
    </r>
  </si>
  <si>
    <t>Ύστερα από κάποιο χρονικό διάστημα, όταν ένα μέρος των αντιδρώντων έχει μετατραπεί σε αμμω-νία, αποκαθίσταται χημική ισορροπία και από το σημείο αυτό και μετά οι ποσότητες όλων των ου-σιών παραμένουν χρονικά αμετάβλητες.</t>
  </si>
  <si>
    <r>
      <t xml:space="preserve">Απάντηση σε τέτοιου είδους προβληματισμούς δίνει ο </t>
    </r>
    <r>
      <rPr>
        <b/>
        <sz val="10"/>
        <color indexed="52"/>
        <rFont val="Arial"/>
        <family val="2"/>
        <charset val="161"/>
      </rPr>
      <t>"συντελεστής απόδοσης της αμφίδρομης αντίδρασης".</t>
    </r>
    <r>
      <rPr>
        <b/>
        <sz val="10"/>
        <color indexed="43"/>
        <rFont val="Arial"/>
        <family val="2"/>
      </rPr>
      <t xml:space="preserve"> </t>
    </r>
    <r>
      <rPr>
        <sz val="10"/>
        <color indexed="43"/>
        <rFont val="Arial"/>
        <family val="2"/>
        <charset val="161"/>
      </rPr>
      <t xml:space="preserve">Τον συμβολίζουμε </t>
    </r>
    <r>
      <rPr>
        <b/>
        <sz val="10"/>
        <color indexed="10"/>
        <rFont val="Arial"/>
        <family val="2"/>
        <charset val="161"/>
      </rPr>
      <t>"α"</t>
    </r>
    <r>
      <rPr>
        <sz val="10"/>
        <color indexed="43"/>
        <rFont val="Arial"/>
        <family val="2"/>
        <charset val="161"/>
      </rPr>
      <t xml:space="preserve"> και ορίζεται ως η ποσότητα κάποιου από τα αντιδρώντα, που αντιδρά μέχρι να φθάσει το σύστημα σε ΚΧΙ, ή η ποσότητα που παράγεται από κάποιο από τα προϊόντα της αμφίδρομης αντίδρασης, πάλι μέχρι να φθάσει το σύστημα σε ΚΧΙ, προς την αντίστοι-χη ποσότητα αντιδρώντος ή προϊόντος, στην περίπτωση που η αντίδραση θα ήταν μονόδρομη, πραγματοποιούμενη δηλαδή με απόδοση 100%.</t>
    </r>
  </si>
  <si>
    <t>Μπορούμε δηλαδή να πούμε ότι είναι…</t>
  </si>
  <si>
    <t>Όλα τα παραπάνω διασαφηνίζονται καλύτερα με το παράδειγμα που ακολουθεί…</t>
  </si>
  <si>
    <r>
      <t xml:space="preserve">Έστω ότι σε κενό κλειστό δοχείο εισάγονται </t>
    </r>
    <r>
      <rPr>
        <b/>
        <sz val="10"/>
        <color indexed="52"/>
        <rFont val="Arial"/>
        <family val="2"/>
        <charset val="161"/>
      </rPr>
      <t>5mol N</t>
    </r>
    <r>
      <rPr>
        <b/>
        <vertAlign val="subscript"/>
        <sz val="10"/>
        <color indexed="52"/>
        <rFont val="Arial"/>
        <family val="2"/>
        <charset val="161"/>
      </rPr>
      <t>2</t>
    </r>
    <r>
      <rPr>
        <b/>
        <vertAlign val="subscript"/>
        <sz val="10"/>
        <color indexed="43"/>
        <rFont val="Arial"/>
        <family val="2"/>
      </rPr>
      <t xml:space="preserve"> </t>
    </r>
    <r>
      <rPr>
        <sz val="10"/>
        <color indexed="43"/>
        <rFont val="Arial"/>
        <family val="2"/>
      </rPr>
      <t xml:space="preserve">και </t>
    </r>
    <r>
      <rPr>
        <b/>
        <sz val="10"/>
        <color indexed="52"/>
        <rFont val="Arial"/>
        <family val="2"/>
        <charset val="161"/>
      </rPr>
      <t>9mol H</t>
    </r>
    <r>
      <rPr>
        <b/>
        <vertAlign val="subscript"/>
        <sz val="10"/>
        <color indexed="52"/>
        <rFont val="Arial"/>
        <family val="2"/>
        <charset val="161"/>
      </rPr>
      <t>2</t>
    </r>
    <r>
      <rPr>
        <sz val="10"/>
        <color indexed="43"/>
        <rFont val="Arial"/>
        <family val="2"/>
      </rPr>
      <t xml:space="preserve"> και αρχίζουν να αντιδρούν μεταξύ τους σχηματίζοντας αμμωνία, κατά τα γνωστά. Έστω ακόμη ότι μέχρι να αποκατασταθεί στο δοχείο χημική ισορροπία, αντιδρούν </t>
    </r>
    <r>
      <rPr>
        <b/>
        <sz val="10"/>
        <color indexed="52"/>
        <rFont val="Arial"/>
        <family val="2"/>
        <charset val="161"/>
      </rPr>
      <t>1,8mol N</t>
    </r>
    <r>
      <rPr>
        <b/>
        <vertAlign val="subscript"/>
        <sz val="10"/>
        <color indexed="52"/>
        <rFont val="Arial"/>
        <family val="2"/>
        <charset val="161"/>
      </rPr>
      <t>2</t>
    </r>
    <r>
      <rPr>
        <b/>
        <sz val="10"/>
        <color indexed="52"/>
        <rFont val="Arial"/>
        <family val="2"/>
        <charset val="161"/>
      </rPr>
      <t>.</t>
    </r>
    <r>
      <rPr>
        <sz val="10"/>
        <color indexed="43"/>
        <rFont val="Arial"/>
        <family val="2"/>
      </rPr>
      <t xml:space="preserve">
Για να υπολογίσουμε τον συντελεστή απόδοσης της αντίδρασης, οφείλουμε να κάνουμε τα παρακά-τω, πάντα με τη βοήθεια κάποιας κατάστρωσης...  </t>
    </r>
  </si>
  <si>
    <r>
      <t xml:space="preserve">                       Ν</t>
    </r>
    <r>
      <rPr>
        <b/>
        <vertAlign val="subscript"/>
        <sz val="16"/>
        <color indexed="41"/>
        <rFont val="Arial"/>
        <family val="2"/>
      </rPr>
      <t>2(g)</t>
    </r>
    <r>
      <rPr>
        <b/>
        <sz val="16"/>
        <color indexed="41"/>
        <rFont val="Arial"/>
        <family val="2"/>
      </rPr>
      <t xml:space="preserve">     </t>
    </r>
    <r>
      <rPr>
        <b/>
        <sz val="16"/>
        <color indexed="10"/>
        <rFont val="Arial"/>
        <family val="2"/>
        <charset val="161"/>
      </rPr>
      <t>+</t>
    </r>
    <r>
      <rPr>
        <b/>
        <sz val="16"/>
        <color indexed="41"/>
        <rFont val="Arial"/>
        <family val="2"/>
      </rPr>
      <t xml:space="preserve">     </t>
    </r>
    <r>
      <rPr>
        <b/>
        <sz val="16"/>
        <color indexed="53"/>
        <rFont val="Arial"/>
        <family val="2"/>
        <charset val="161"/>
      </rPr>
      <t>3</t>
    </r>
    <r>
      <rPr>
        <b/>
        <sz val="16"/>
        <color indexed="41"/>
        <rFont val="Arial"/>
        <family val="2"/>
      </rPr>
      <t>Η</t>
    </r>
    <r>
      <rPr>
        <b/>
        <vertAlign val="subscript"/>
        <sz val="16"/>
        <color indexed="41"/>
        <rFont val="Arial"/>
        <family val="2"/>
      </rPr>
      <t>2(g)</t>
    </r>
    <r>
      <rPr>
        <b/>
        <sz val="16"/>
        <color indexed="41"/>
        <rFont val="Arial"/>
        <family val="2"/>
      </rPr>
      <t xml:space="preserve">      </t>
    </r>
    <r>
      <rPr>
        <b/>
        <sz val="16"/>
        <color indexed="10"/>
        <rFont val="Symbol"/>
        <family val="1"/>
        <charset val="2"/>
      </rPr>
      <t>®</t>
    </r>
    <r>
      <rPr>
        <b/>
        <sz val="16"/>
        <color indexed="41"/>
        <rFont val="Arial"/>
        <family val="2"/>
      </rPr>
      <t xml:space="preserve">       </t>
    </r>
    <r>
      <rPr>
        <b/>
        <sz val="16"/>
        <color indexed="53"/>
        <rFont val="Arial"/>
        <family val="2"/>
        <charset val="161"/>
      </rPr>
      <t>2</t>
    </r>
    <r>
      <rPr>
        <b/>
        <sz val="16"/>
        <color indexed="41"/>
        <rFont val="Arial"/>
        <family val="2"/>
      </rPr>
      <t>ΝΗ</t>
    </r>
    <r>
      <rPr>
        <b/>
        <vertAlign val="subscript"/>
        <sz val="16"/>
        <color indexed="41"/>
        <rFont val="Arial"/>
        <family val="2"/>
      </rPr>
      <t>3(g)</t>
    </r>
  </si>
  <si>
    <t xml:space="preserve">      –</t>
  </si>
  <si>
    <r>
      <t xml:space="preserve">Φαίνεται ακόμη από την παραπάνω κατάστρωση ότι το </t>
    </r>
    <r>
      <rPr>
        <b/>
        <sz val="10"/>
        <color indexed="52"/>
        <rFont val="Arial"/>
        <family val="2"/>
        <charset val="161"/>
      </rPr>
      <t>άζωτο</t>
    </r>
    <r>
      <rPr>
        <sz val="10"/>
        <color indexed="43"/>
        <rFont val="Arial"/>
        <family val="2"/>
        <charset val="161"/>
      </rPr>
      <t xml:space="preserve"> χρησιμοποιήθηκε σε </t>
    </r>
    <r>
      <rPr>
        <b/>
        <sz val="10"/>
        <color indexed="52"/>
        <rFont val="Arial"/>
        <family val="2"/>
        <charset val="161"/>
      </rPr>
      <t>περίσσεια,</t>
    </r>
    <r>
      <rPr>
        <sz val="10"/>
        <color indexed="43"/>
        <rFont val="Arial"/>
        <family val="2"/>
        <charset val="161"/>
      </rPr>
      <t xml:space="preserve"> α-φού αν η αντίδραση γινόταν ποσοτικά, θα περίσσευε από αυτό ποσότητα ίση με </t>
    </r>
    <r>
      <rPr>
        <b/>
        <sz val="10"/>
        <color indexed="52"/>
        <rFont val="Arial"/>
        <family val="2"/>
        <charset val="161"/>
      </rPr>
      <t>2mol.</t>
    </r>
  </si>
  <si>
    <r>
      <t xml:space="preserve">Το </t>
    </r>
    <r>
      <rPr>
        <b/>
        <sz val="10"/>
        <color indexed="52"/>
        <rFont val="Arial"/>
        <family val="2"/>
        <charset val="161"/>
      </rPr>
      <t>Η</t>
    </r>
    <r>
      <rPr>
        <b/>
        <vertAlign val="subscript"/>
        <sz val="10"/>
        <color indexed="52"/>
        <rFont val="Arial"/>
        <family val="2"/>
        <charset val="161"/>
      </rPr>
      <t>2</t>
    </r>
    <r>
      <rPr>
        <sz val="10"/>
        <color indexed="43"/>
        <rFont val="Arial"/>
        <family val="2"/>
        <charset val="161"/>
      </rPr>
      <t xml:space="preserve"> εξάλλου, που θα καταναλωνόταν πλήρως, αν η αντίδραση γινόταν ποσοτικά, λέμε ότι ήταν σε </t>
    </r>
    <r>
      <rPr>
        <b/>
        <sz val="10"/>
        <color indexed="52"/>
        <rFont val="Arial"/>
        <family val="2"/>
        <charset val="161"/>
      </rPr>
      <t>"έλλειμμα".</t>
    </r>
  </si>
  <si>
    <r>
      <t xml:space="preserve">Υπολογισμός ποσοτήτων αντιδρώντων - προϊόντων στην </t>
    </r>
    <r>
      <rPr>
        <b/>
        <sz val="10"/>
        <color indexed="52"/>
        <rFont val="Arial"/>
        <family val="2"/>
        <charset val="161"/>
      </rPr>
      <t>"πράξη"</t>
    </r>
  </si>
  <si>
    <r>
      <t xml:space="preserve">                       Ν</t>
    </r>
    <r>
      <rPr>
        <b/>
        <vertAlign val="subscript"/>
        <sz val="16"/>
        <color indexed="41"/>
        <rFont val="Arial"/>
        <family val="2"/>
      </rPr>
      <t>2(g)</t>
    </r>
    <r>
      <rPr>
        <b/>
        <sz val="16"/>
        <color indexed="41"/>
        <rFont val="Arial"/>
        <family val="2"/>
      </rPr>
      <t xml:space="preserve">     </t>
    </r>
    <r>
      <rPr>
        <b/>
        <sz val="16"/>
        <color indexed="10"/>
        <rFont val="Arial"/>
        <family val="2"/>
        <charset val="161"/>
      </rPr>
      <t>+</t>
    </r>
    <r>
      <rPr>
        <b/>
        <sz val="16"/>
        <color indexed="41"/>
        <rFont val="Arial"/>
        <family val="2"/>
      </rPr>
      <t xml:space="preserve">     </t>
    </r>
    <r>
      <rPr>
        <b/>
        <sz val="16"/>
        <color indexed="53"/>
        <rFont val="Arial"/>
        <family val="2"/>
        <charset val="161"/>
      </rPr>
      <t>3</t>
    </r>
    <r>
      <rPr>
        <b/>
        <sz val="16"/>
        <color indexed="41"/>
        <rFont val="Arial"/>
        <family val="2"/>
      </rPr>
      <t>Η</t>
    </r>
    <r>
      <rPr>
        <b/>
        <vertAlign val="subscript"/>
        <sz val="16"/>
        <color indexed="41"/>
        <rFont val="Arial"/>
        <family val="2"/>
      </rPr>
      <t>2(g)</t>
    </r>
    <r>
      <rPr>
        <b/>
        <sz val="16"/>
        <color indexed="41"/>
        <rFont val="Arial"/>
        <family val="2"/>
      </rPr>
      <t xml:space="preserve">     </t>
    </r>
    <r>
      <rPr>
        <b/>
        <sz val="16"/>
        <color indexed="10"/>
        <rFont val="Wingdings 3"/>
        <family val="1"/>
        <charset val="2"/>
      </rPr>
      <t>D</t>
    </r>
    <r>
      <rPr>
        <b/>
        <sz val="16"/>
        <color indexed="41"/>
        <rFont val="Arial"/>
        <family val="2"/>
      </rPr>
      <t xml:space="preserve">     </t>
    </r>
    <r>
      <rPr>
        <b/>
        <sz val="16"/>
        <color indexed="53"/>
        <rFont val="Arial"/>
        <family val="2"/>
        <charset val="161"/>
      </rPr>
      <t>2</t>
    </r>
    <r>
      <rPr>
        <b/>
        <sz val="16"/>
        <color indexed="41"/>
        <rFont val="Arial"/>
        <family val="2"/>
      </rPr>
      <t>ΝΗ</t>
    </r>
    <r>
      <rPr>
        <b/>
        <vertAlign val="subscript"/>
        <sz val="16"/>
        <color indexed="41"/>
        <rFont val="Arial"/>
        <family val="2"/>
      </rPr>
      <t>3(g)</t>
    </r>
  </si>
  <si>
    <r>
      <t>Παρατηρούμε ότι οι ποσότητες των αντιδρώντων που αντιδρούν στην</t>
    </r>
    <r>
      <rPr>
        <b/>
        <sz val="10"/>
        <color indexed="43"/>
        <rFont val="Arial"/>
        <family val="2"/>
      </rPr>
      <t xml:space="preserve"> </t>
    </r>
    <r>
      <rPr>
        <b/>
        <sz val="10"/>
        <color indexed="52"/>
        <rFont val="Arial"/>
        <family val="2"/>
        <charset val="161"/>
      </rPr>
      <t>"πράξη",</t>
    </r>
    <r>
      <rPr>
        <b/>
        <sz val="10"/>
        <color indexed="43"/>
        <rFont val="Arial"/>
        <family val="2"/>
      </rPr>
      <t xml:space="preserve"> </t>
    </r>
    <r>
      <rPr>
        <sz val="10"/>
        <color indexed="43"/>
        <rFont val="Arial"/>
        <family val="2"/>
        <charset val="161"/>
      </rPr>
      <t xml:space="preserve">αλλά και του προϊό-ντος που λαμβάνεται στην </t>
    </r>
    <r>
      <rPr>
        <b/>
        <sz val="10"/>
        <color indexed="52"/>
        <rFont val="Arial"/>
        <family val="2"/>
        <charset val="161"/>
      </rPr>
      <t>"πράξη",</t>
    </r>
    <r>
      <rPr>
        <b/>
        <sz val="10"/>
        <color indexed="43"/>
        <rFont val="Arial"/>
        <family val="2"/>
      </rPr>
      <t xml:space="preserve"> </t>
    </r>
    <r>
      <rPr>
        <sz val="10"/>
        <color indexed="43"/>
        <rFont val="Arial"/>
        <family val="2"/>
        <charset val="161"/>
      </rPr>
      <t xml:space="preserve">είναι μικρότερες των αντίστοιχων θεωρητικών. Για τον υπολογι-σμό του συντελεστή απόδοσης της αντίδρασης μπορούμε να πούμε... </t>
    </r>
  </si>
  <si>
    <r>
      <t xml:space="preserve">Συνιστάται διότι έτσι κρίνεται ότι είναι ασφαλέστερο, ο υπολογισμός του </t>
    </r>
    <r>
      <rPr>
        <b/>
        <sz val="10"/>
        <color indexed="52"/>
        <rFont val="Arial"/>
        <family val="2"/>
        <charset val="161"/>
      </rPr>
      <t>"α"</t>
    </r>
    <r>
      <rPr>
        <sz val="10"/>
        <color indexed="43"/>
        <rFont val="Arial"/>
        <family val="2"/>
        <charset val="161"/>
      </rPr>
      <t xml:space="preserve"> να γίνεται με βάση το προϊόν. Αν απαιτείται να υπολογιστεί το </t>
    </r>
    <r>
      <rPr>
        <b/>
        <sz val="10"/>
        <color indexed="52"/>
        <rFont val="Arial"/>
        <family val="2"/>
        <charset val="161"/>
      </rPr>
      <t>"α"</t>
    </r>
    <r>
      <rPr>
        <sz val="10"/>
        <color indexed="43"/>
        <rFont val="Arial"/>
        <family val="2"/>
        <charset val="161"/>
      </rPr>
      <t xml:space="preserve"> με βάση κάποιο από τα αντιδρώντα, καλύτερα είναι να επιλεγεί το αντιδρόν που είναι σε </t>
    </r>
    <r>
      <rPr>
        <b/>
        <sz val="10"/>
        <color indexed="52"/>
        <rFont val="Arial"/>
        <family val="2"/>
        <charset val="161"/>
      </rPr>
      <t>"ελλειμμα".</t>
    </r>
    <r>
      <rPr>
        <sz val="10"/>
        <color indexed="43"/>
        <rFont val="Arial"/>
        <family val="2"/>
        <charset val="161"/>
      </rPr>
      <t xml:space="preserve">
Αν η αμφίδρομη αντίδραση είναι αντίδραση διάσπασης, τότε καλύτερα είναι ο υπολογισμός του </t>
    </r>
    <r>
      <rPr>
        <b/>
        <sz val="10"/>
        <color indexed="52"/>
        <rFont val="Arial"/>
        <family val="2"/>
        <charset val="161"/>
      </rPr>
      <t>"α"</t>
    </r>
    <r>
      <rPr>
        <sz val="10"/>
        <color indexed="43"/>
        <rFont val="Arial"/>
        <family val="2"/>
        <charset val="161"/>
      </rPr>
      <t xml:space="preserve"> να γίνεται με βάση το αντιδρών, δηλαδή την ουσία που διασπάται.</t>
    </r>
  </si>
  <si>
    <t>0,50mol</t>
  </si>
  <si>
    <t>1,15mol</t>
  </si>
  <si>
    <t xml:space="preserve"> </t>
  </si>
  <si>
    <t>10.</t>
  </si>
  <si>
    <t>Σε κλειστό δοχείο σταθερού όγκου αποκαθίσταται η παραπάνω ΧΙ. Από τα δεδομένα του πίνακα προκύπτει ότι:</t>
  </si>
  <si>
    <t>n=6x</t>
  </si>
  <si>
    <t>ã</t>
  </si>
  <si>
    <t>Ø</t>
  </si>
  <si>
    <t>ð</t>
  </si>
  <si>
    <t>(an/2)mol</t>
  </si>
  <si>
    <t>μείνει ίδιος</t>
  </si>
  <si>
    <t>11.</t>
  </si>
  <si>
    <t>0,7mol</t>
  </si>
  <si>
    <t>9mol</t>
  </si>
  <si>
    <t>3mol</t>
  </si>
  <si>
    <t>αρχικά:</t>
  </si>
  <si>
    <t>τελικά:</t>
  </si>
  <si>
    <t>Η αντίδραση γίνεται ταχύτερα προς τα δεξιά, απ' ό,τι προς τα αριστερά.</t>
  </si>
  <si>
    <t>Η αντίδραση βρίσκεται σε ΚΧΙ.</t>
  </si>
  <si>
    <t>Η αντίδραση γίνεται ταχύτερα προς τα αριστερά, απ' ό,τι προς τα δεξιά.</t>
  </si>
  <si>
    <t>Κατά συνέπεια και σε σχέση με το προηγούμενο ερώτημα, προκύ- πτει ότι:</t>
  </si>
  <si>
    <t>?</t>
  </si>
  <si>
    <t>εκλύεται στο περιβάλλον</t>
  </si>
  <si>
    <t>απορροφάται από το περιβάλλον</t>
  </si>
  <si>
    <t>θ°C</t>
  </si>
  <si>
    <t>Δίνονται οι ακόλουθες ισορροπίες.</t>
  </si>
  <si>
    <t xml:space="preserve">  θ°C</t>
  </si>
  <si>
    <t>ymol</t>
  </si>
  <si>
    <t>ΣΥΝΟΛΟ:</t>
  </si>
  <si>
    <t>ΠΟΣΟΣΤΟ:</t>
  </si>
  <si>
    <t>ω=0,4</t>
  </si>
  <si>
    <t>2n=5x</t>
  </si>
  <si>
    <t>x=n/4</t>
  </si>
  <si>
    <t>μειωθεί</t>
  </si>
  <si>
    <t>αυξηθεί</t>
  </si>
  <si>
    <t>ω=1,2</t>
  </si>
  <si>
    <t>Η τιμή του συντελεστή απόδοσης της αντίδρασης είναι:</t>
  </si>
  <si>
    <t>Η τιμή της απόδοσης της αντίδρασης είναι:</t>
  </si>
  <si>
    <t>ποσότητα αντιδρώντος ή προϊόντος στην "πράξη"</t>
  </si>
  <si>
    <t>αντίστοιχη "θεωρητική" ποσότητα αντιδρώντος ή προϊόντος</t>
  </si>
  <si>
    <t xml:space="preserve">     Για να προχωρήσουμε στη συνέχεια, κάνουμε την παρακάτω κατάστρωση…</t>
  </si>
  <si>
    <t>αρχική ΚΧΙ:</t>
  </si>
  <si>
    <t>προσθέτουμε:</t>
  </si>
  <si>
    <t>νέα κατάσταση:</t>
  </si>
  <si>
    <t>αντιδρούν:</t>
  </si>
  <si>
    <t>παράγονται:</t>
  </si>
  <si>
    <t>τελική ΚΧΙ:</t>
  </si>
  <si>
    <t xml:space="preserve">     0,6mol</t>
  </si>
  <si>
    <t xml:space="preserve">     3,6mol</t>
  </si>
  <si>
    <t xml:space="preserve">      3mol</t>
  </si>
  <si>
    <t xml:space="preserve">      2xmol</t>
  </si>
  <si>
    <t>(2-x)mol</t>
  </si>
  <si>
    <t xml:space="preserve"> 0,5mol</t>
  </si>
  <si>
    <t xml:space="preserve"> 1,5mol</t>
  </si>
  <si>
    <t xml:space="preserve">   2mol</t>
  </si>
  <si>
    <t xml:space="preserve">   xmol</t>
  </si>
  <si>
    <t xml:space="preserve"> (2-x)mol</t>
  </si>
  <si>
    <t xml:space="preserve">  2mol</t>
  </si>
  <si>
    <t>Να σημειωθεί ότι ένα τέτοιο σύστημα ουσιών, που αλληλεπιδρούν αμφίδρομα μεταξύ τους, όταν βρί-σκεται σε ΚΧΙ, μακροσκοπικά δίνει την εντύπωση ότι μέσα του δε συμβαίνει καμιά αντίδραση, αφού οι ποσότητες όλων των ουσιών παραμένουν σταθερές. Όμως από όσα αναφέρθηκαν παραπάνω κα-ταλαβαίνουμε εύκολα ότι οι ποσότητες των ουσιών δε μεταβάλλονται χρονικά, όχι εξαιτίας της μη πραγματοποίησης αντίδρασης μεταξύ τους, αλλά αντίθετα λόγω του ότι οι ουσίες αυτές συμμετέ-χουν σε μια αμφίδρομη αντίδραση, η οποία εξελίσσεται και προς τις δυο κατευθύνσεις με την ίδια ταχύτητα.</t>
  </si>
  <si>
    <r>
      <t xml:space="preserve">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για την παραπάνω αντίδραση σε </t>
    </r>
    <r>
      <rPr>
        <b/>
        <sz val="10"/>
        <color indexed="52"/>
        <rFont val="Arial"/>
        <family val="2"/>
        <charset val="161"/>
      </rPr>
      <t>27°C,</t>
    </r>
    <r>
      <rPr>
        <sz val="10"/>
        <color indexed="43"/>
        <rFont val="Arial"/>
        <family val="2"/>
      </rPr>
      <t xml:space="preserve"> είναι, </t>
    </r>
    <r>
      <rPr>
        <b/>
        <sz val="10"/>
        <color indexed="52"/>
        <rFont val="Arial"/>
        <family val="2"/>
        <charset val="161"/>
      </rPr>
      <t>(να μη γραφούν μονάδες για την K</t>
    </r>
    <r>
      <rPr>
        <b/>
        <vertAlign val="subscript"/>
        <sz val="10"/>
        <color indexed="52"/>
        <rFont val="Arial"/>
        <family val="2"/>
        <charset val="161"/>
      </rPr>
      <t>C</t>
    </r>
    <r>
      <rPr>
        <b/>
        <sz val="10"/>
        <color indexed="52"/>
        <rFont val="Arial"/>
        <family val="2"/>
        <charset val="161"/>
      </rPr>
      <t>):</t>
    </r>
  </si>
  <si>
    <r>
      <t xml:space="preserve">Τα ερωτήματα της άσκησης αυτής αναφέρονται στην αρχή </t>
    </r>
    <r>
      <rPr>
        <b/>
        <sz val="10"/>
        <color indexed="52"/>
        <rFont val="Arial"/>
        <family val="2"/>
        <charset val="161"/>
      </rPr>
      <t>Le Chatelier.</t>
    </r>
    <r>
      <rPr>
        <b/>
        <sz val="10"/>
        <color indexed="43"/>
        <rFont val="Arial"/>
        <family val="2"/>
      </rPr>
      <t xml:space="preserve"> </t>
    </r>
    <r>
      <rPr>
        <sz val="10"/>
        <color indexed="43"/>
        <rFont val="Arial"/>
        <family val="2"/>
        <charset val="161"/>
      </rPr>
      <t xml:space="preserve">Σε κάθε περί-πτωση από αυτές που δίνονται, πρέπει να γραφεί στο αντίστοιχο κελί της στήλης </t>
    </r>
    <r>
      <rPr>
        <b/>
        <sz val="10"/>
        <color indexed="52"/>
        <rFont val="Arial"/>
        <family val="2"/>
        <charset val="161"/>
      </rPr>
      <t>"G",</t>
    </r>
    <r>
      <rPr>
        <sz val="10"/>
        <color indexed="43"/>
        <rFont val="Arial"/>
        <family val="2"/>
        <charset val="161"/>
      </rPr>
      <t xml:space="preserve"> που έχει πορτοκαλί χρώμα, είτε το γράμμα </t>
    </r>
    <r>
      <rPr>
        <b/>
        <sz val="10"/>
        <color indexed="52"/>
        <rFont val="Arial"/>
        <family val="2"/>
        <charset val="161"/>
      </rPr>
      <t>"Α",</t>
    </r>
    <r>
      <rPr>
        <sz val="10"/>
        <color indexed="43"/>
        <rFont val="Arial"/>
        <family val="2"/>
        <charset val="161"/>
      </rPr>
      <t xml:space="preserve"> που σημαίνει </t>
    </r>
    <r>
      <rPr>
        <b/>
        <sz val="10"/>
        <color indexed="52"/>
        <rFont val="Arial"/>
        <family val="2"/>
        <charset val="161"/>
      </rPr>
      <t>"αύξηση",</t>
    </r>
    <r>
      <rPr>
        <sz val="10"/>
        <color indexed="43"/>
        <rFont val="Arial"/>
        <family val="2"/>
        <charset val="161"/>
      </rPr>
      <t xml:space="preserve"> είτε το γράμμα </t>
    </r>
    <r>
      <rPr>
        <b/>
        <sz val="10"/>
        <color indexed="52"/>
        <rFont val="Arial"/>
        <family val="2"/>
        <charset val="161"/>
      </rPr>
      <t>"Μ",</t>
    </r>
    <r>
      <rPr>
        <sz val="10"/>
        <color indexed="43"/>
        <rFont val="Arial"/>
        <family val="2"/>
        <charset val="161"/>
      </rPr>
      <t xml:space="preserve"> που σημαίνει </t>
    </r>
    <r>
      <rPr>
        <b/>
        <sz val="10"/>
        <color indexed="52"/>
        <rFont val="Arial"/>
        <family val="2"/>
        <charset val="161"/>
      </rPr>
      <t>"μείωση",</t>
    </r>
    <r>
      <rPr>
        <sz val="10"/>
        <color indexed="43"/>
        <rFont val="Arial"/>
        <family val="2"/>
        <charset val="161"/>
      </rPr>
      <t xml:space="preserve"> είτε το γράμμα </t>
    </r>
    <r>
      <rPr>
        <b/>
        <sz val="10"/>
        <color indexed="52"/>
        <rFont val="Arial"/>
        <family val="2"/>
        <charset val="161"/>
      </rPr>
      <t>"Σ"</t>
    </r>
    <r>
      <rPr>
        <b/>
        <sz val="10"/>
        <color indexed="43"/>
        <rFont val="Arial"/>
        <family val="2"/>
      </rPr>
      <t xml:space="preserve"> </t>
    </r>
    <r>
      <rPr>
        <sz val="10"/>
        <color indexed="43"/>
        <rFont val="Arial"/>
        <family val="2"/>
        <charset val="161"/>
      </rPr>
      <t xml:space="preserve">που σημαίνει </t>
    </r>
    <r>
      <rPr>
        <b/>
        <sz val="10"/>
        <color indexed="52"/>
        <rFont val="Arial"/>
        <family val="2"/>
        <charset val="161"/>
      </rPr>
      <t>"σταθερό",</t>
    </r>
    <r>
      <rPr>
        <b/>
        <sz val="10"/>
        <color indexed="43"/>
        <rFont val="Arial"/>
        <family val="2"/>
      </rPr>
      <t xml:space="preserve"> </t>
    </r>
    <r>
      <rPr>
        <sz val="10"/>
        <color indexed="43"/>
        <rFont val="Arial"/>
        <family val="2"/>
      </rPr>
      <t>(γράμματα</t>
    </r>
    <r>
      <rPr>
        <b/>
        <sz val="10"/>
        <color indexed="43"/>
        <rFont val="Arial"/>
        <family val="2"/>
      </rPr>
      <t xml:space="preserve"> </t>
    </r>
    <r>
      <rPr>
        <b/>
        <sz val="10"/>
        <color indexed="52"/>
        <rFont val="Arial"/>
        <family val="2"/>
        <charset val="161"/>
      </rPr>
      <t>ΚΕΦΑΛΑΙΑ Ελληνικά</t>
    </r>
    <r>
      <rPr>
        <sz val="10"/>
        <color indexed="43"/>
        <rFont val="Arial"/>
        <family val="2"/>
        <charset val="161"/>
      </rPr>
      <t>),</t>
    </r>
    <r>
      <rPr>
        <sz val="10"/>
        <color indexed="43"/>
        <rFont val="Arial"/>
        <family val="2"/>
        <charset val="161"/>
      </rPr>
      <t xml:space="preserve"> ανάλογα με το αν η  ποσότητα της ουσίας, στην οποία αναφέρε-ται το ερώτημα,  </t>
    </r>
    <r>
      <rPr>
        <b/>
        <sz val="10"/>
        <color indexed="52"/>
        <rFont val="Arial"/>
        <family val="2"/>
        <charset val="161"/>
      </rPr>
      <t>αυξάνεται,</t>
    </r>
    <r>
      <rPr>
        <sz val="10"/>
        <color indexed="43"/>
        <rFont val="Arial"/>
        <family val="2"/>
        <charset val="161"/>
      </rPr>
      <t xml:space="preserve"> </t>
    </r>
    <r>
      <rPr>
        <b/>
        <sz val="10"/>
        <color indexed="52"/>
        <rFont val="Arial"/>
        <family val="2"/>
        <charset val="161"/>
      </rPr>
      <t>μειώνεται</t>
    </r>
    <r>
      <rPr>
        <sz val="10"/>
        <color indexed="43"/>
        <rFont val="Arial"/>
        <family val="2"/>
        <charset val="161"/>
      </rPr>
      <t xml:space="preserve"> ή μένει </t>
    </r>
    <r>
      <rPr>
        <b/>
        <sz val="10"/>
        <color indexed="52"/>
        <rFont val="Arial"/>
        <family val="2"/>
        <charset val="161"/>
      </rPr>
      <t>αμετάβλητη</t>
    </r>
    <r>
      <rPr>
        <sz val="10"/>
        <color indexed="43"/>
        <rFont val="Arial"/>
        <family val="2"/>
        <charset val="161"/>
      </rPr>
      <t xml:space="preserve"> αντίστοιχα, μετά από κάποια μεταβολή, που αναφέρεται ότι επήλθε σε κάποιον από τους παράγοντες της </t>
    </r>
    <r>
      <rPr>
        <b/>
        <sz val="10"/>
        <color indexed="52"/>
        <rFont val="Arial"/>
        <family val="2"/>
        <charset val="161"/>
      </rPr>
      <t>ΧΙ.</t>
    </r>
  </si>
  <si>
    <r>
      <t xml:space="preserve">Στον παραπάνω πίνακα στη σειρά </t>
    </r>
    <r>
      <rPr>
        <b/>
        <sz val="10"/>
        <color indexed="52"/>
        <rFont val="Arial"/>
        <family val="2"/>
        <charset val="161"/>
      </rPr>
      <t>"αντέδρασαν",</t>
    </r>
    <r>
      <rPr>
        <sz val="10"/>
        <color indexed="43"/>
        <rFont val="Arial"/>
        <family val="2"/>
        <charset val="161"/>
      </rPr>
      <t xml:space="preserve"> να γραφούν στα κατάλληλα κελιά, που έχουν πορτοκαλί χρώμα, οι ποσότητες που αντιδρούν και καθώς είναι άγνωστες, να συμβολισθούν με </t>
    </r>
    <r>
      <rPr>
        <b/>
        <sz val="10"/>
        <color indexed="52"/>
        <rFont val="Arial"/>
        <family val="2"/>
        <charset val="161"/>
      </rPr>
      <t>"xmol"</t>
    </r>
    <r>
      <rPr>
        <b/>
        <sz val="10"/>
        <color indexed="43"/>
        <rFont val="Arial"/>
        <family val="2"/>
      </rPr>
      <t xml:space="preserve"> </t>
    </r>
    <r>
      <rPr>
        <b/>
        <sz val="10"/>
        <color indexed="52"/>
        <rFont val="Arial"/>
        <family val="2"/>
        <charset val="161"/>
      </rPr>
      <t>(λατινικό αλφάβητο).</t>
    </r>
    <r>
      <rPr>
        <sz val="10"/>
        <color indexed="43"/>
        <rFont val="Arial"/>
        <family val="2"/>
      </rPr>
      <t xml:space="preserve"> Ανάλογα</t>
    </r>
    <r>
      <rPr>
        <sz val="10"/>
        <color indexed="43"/>
        <rFont val="Arial"/>
        <family val="2"/>
        <charset val="161"/>
      </rPr>
      <t xml:space="preserve"> θα συμπληρωθούν και οι δυο επόμενες σειρές του πίνακα. Είναι φανερό ότι ορισμένα από τα κελιά του παραπάνω πίνακα, πρέπει να μείνουν </t>
    </r>
    <r>
      <rPr>
        <b/>
        <sz val="10"/>
        <color indexed="52"/>
        <rFont val="Arial"/>
        <family val="2"/>
        <charset val="161"/>
      </rPr>
      <t>κενά.</t>
    </r>
  </si>
  <si>
    <r>
      <t xml:space="preserve">Η τιμή του </t>
    </r>
    <r>
      <rPr>
        <b/>
        <sz val="10"/>
        <color indexed="52"/>
        <rFont val="Arial"/>
        <family val="2"/>
        <charset val="161"/>
      </rPr>
      <t>πηλίκου της αντίδρασης</t>
    </r>
    <r>
      <rPr>
        <sz val="10"/>
        <color indexed="52"/>
        <rFont val="Arial"/>
        <family val="2"/>
        <charset val="161"/>
      </rPr>
      <t xml:space="preserve"> </t>
    </r>
    <r>
      <rPr>
        <b/>
        <sz val="10"/>
        <color indexed="52"/>
        <rFont val="Arial"/>
        <family val="2"/>
        <charset val="161"/>
      </rPr>
      <t>Q</t>
    </r>
    <r>
      <rPr>
        <b/>
        <vertAlign val="subscript"/>
        <sz val="10"/>
        <color indexed="52"/>
        <rFont val="Arial"/>
        <family val="2"/>
        <charset val="161"/>
      </rPr>
      <t>C</t>
    </r>
    <r>
      <rPr>
        <sz val="10"/>
        <color indexed="43"/>
        <rFont val="Arial"/>
        <family val="2"/>
      </rPr>
      <t xml:space="preserve"> στη νέα κατά- σταση που διαμορφώθηκε για την παραπάνω αντίδρα-ση  μετά τις μεταβολές που επιφέραμε, είναι:</t>
    </r>
  </si>
  <si>
    <r>
      <t xml:space="preserve">Η ποσότητα σε </t>
    </r>
    <r>
      <rPr>
        <b/>
        <sz val="10"/>
        <color indexed="52"/>
        <rFont val="Arial"/>
        <family val="2"/>
        <charset val="161"/>
      </rPr>
      <t>mol</t>
    </r>
    <r>
      <rPr>
        <sz val="10"/>
        <color indexed="43"/>
        <rFont val="Arial"/>
        <family val="2"/>
      </rPr>
      <t xml:space="preserve"> του </t>
    </r>
    <r>
      <rPr>
        <b/>
        <sz val="10"/>
        <color indexed="52"/>
        <rFont val="Arial"/>
        <family val="2"/>
        <charset val="161"/>
      </rPr>
      <t>CO</t>
    </r>
    <r>
      <rPr>
        <b/>
        <vertAlign val="subscript"/>
        <sz val="10"/>
        <color indexed="52"/>
        <rFont val="Arial"/>
        <family val="2"/>
        <charset val="161"/>
      </rPr>
      <t>2(g)</t>
    </r>
    <r>
      <rPr>
        <sz val="10"/>
        <color indexed="43"/>
        <rFont val="Arial"/>
        <family val="2"/>
      </rPr>
      <t xml:space="preserve"> στην </t>
    </r>
    <r>
      <rPr>
        <b/>
        <sz val="10"/>
        <color indexed="52"/>
        <rFont val="Arial"/>
        <family val="2"/>
        <charset val="161"/>
      </rPr>
      <t>τελ. ΚΧΙ</t>
    </r>
    <r>
      <rPr>
        <sz val="10"/>
        <color indexed="43"/>
        <rFont val="Arial"/>
        <family val="2"/>
      </rPr>
      <t xml:space="preserve"> θα είναι ί-ση με:</t>
    </r>
  </si>
  <si>
    <r>
      <t xml:space="preserve">Εντός κλειστού δοχείου σταθερού όγκου, αποκαθίσταται σε </t>
    </r>
    <r>
      <rPr>
        <b/>
        <sz val="10"/>
        <color indexed="52"/>
        <rFont val="Arial"/>
        <family val="2"/>
        <charset val="161"/>
      </rPr>
      <t>θ°C</t>
    </r>
    <r>
      <rPr>
        <sz val="10"/>
        <color indexed="43"/>
        <rFont val="Arial"/>
        <family val="2"/>
        <charset val="161"/>
      </rPr>
      <t xml:space="preserve">    η παραπάνω ΧΙ, υπό ολική πίεση </t>
    </r>
    <r>
      <rPr>
        <b/>
        <sz val="10"/>
        <color indexed="52"/>
        <rFont val="Arial"/>
        <family val="2"/>
        <charset val="161"/>
      </rPr>
      <t>P</t>
    </r>
    <r>
      <rPr>
        <b/>
        <vertAlign val="subscript"/>
        <sz val="10"/>
        <color indexed="52"/>
        <rFont val="Arial"/>
        <family val="2"/>
        <charset val="161"/>
      </rPr>
      <t>ολ.</t>
    </r>
    <r>
      <rPr>
        <b/>
        <sz val="10"/>
        <color indexed="52"/>
        <rFont val="Arial"/>
        <family val="2"/>
        <charset val="161"/>
      </rPr>
      <t>=5atm.</t>
    </r>
    <r>
      <rPr>
        <sz val="10"/>
        <color indexed="43"/>
        <rFont val="Arial"/>
        <family val="2"/>
        <charset val="161"/>
      </rPr>
      <t xml:space="preserve"> Αν το αέριο μίγμα, που υπάρχει στο δοχείο στην </t>
    </r>
    <r>
      <rPr>
        <b/>
        <sz val="10"/>
        <color indexed="52"/>
        <rFont val="Arial"/>
        <family val="2"/>
        <charset val="161"/>
      </rPr>
      <t>ΚΧΙ,</t>
    </r>
    <r>
      <rPr>
        <sz val="10"/>
        <color indexed="43"/>
        <rFont val="Arial"/>
        <family val="2"/>
        <charset val="161"/>
      </rPr>
      <t xml:space="preserve"> είναι </t>
    </r>
    <r>
      <rPr>
        <b/>
        <sz val="10"/>
        <color indexed="52"/>
        <rFont val="Arial"/>
        <family val="2"/>
        <charset val="161"/>
      </rPr>
      <t>ισομοριακό</t>
    </r>
    <r>
      <rPr>
        <sz val="10"/>
        <color indexed="43"/>
        <rFont val="Arial"/>
        <family val="2"/>
        <charset val="161"/>
      </rPr>
      <t xml:space="preserve"> ως προς το </t>
    </r>
    <r>
      <rPr>
        <b/>
        <sz val="10"/>
        <color indexed="52"/>
        <rFont val="Arial"/>
        <family val="2"/>
        <charset val="161"/>
      </rPr>
      <t>Η</t>
    </r>
    <r>
      <rPr>
        <b/>
        <vertAlign val="subscript"/>
        <sz val="10"/>
        <color indexed="52"/>
        <rFont val="Arial"/>
        <family val="2"/>
        <charset val="161"/>
      </rPr>
      <t>2(g)</t>
    </r>
    <r>
      <rPr>
        <sz val="10"/>
        <color indexed="43"/>
        <rFont val="Arial"/>
        <family val="2"/>
        <charset val="161"/>
      </rPr>
      <t xml:space="preserve"> και την </t>
    </r>
    <r>
      <rPr>
        <b/>
        <sz val="10"/>
        <color indexed="52"/>
        <rFont val="Arial"/>
        <family val="2"/>
        <charset val="161"/>
      </rPr>
      <t>NH</t>
    </r>
    <r>
      <rPr>
        <b/>
        <vertAlign val="subscript"/>
        <sz val="10"/>
        <color indexed="52"/>
        <rFont val="Arial"/>
        <family val="2"/>
        <charset val="161"/>
      </rPr>
      <t>3(g)</t>
    </r>
    <r>
      <rPr>
        <sz val="10"/>
        <color indexed="43"/>
        <rFont val="Arial"/>
        <family val="2"/>
        <charset val="161"/>
      </rPr>
      <t xml:space="preserve"> και η </t>
    </r>
    <r>
      <rPr>
        <sz val="10"/>
        <color rgb="FFFFFF99"/>
        <rFont val="Arial"/>
        <family val="2"/>
        <charset val="161"/>
      </rPr>
      <t>μερική πίεση</t>
    </r>
    <r>
      <rPr>
        <sz val="10"/>
        <color indexed="43"/>
        <rFont val="Arial"/>
        <family val="2"/>
        <charset val="161"/>
      </rPr>
      <t xml:space="preserve"> του </t>
    </r>
    <r>
      <rPr>
        <b/>
        <sz val="10"/>
        <color indexed="52"/>
        <rFont val="Arial"/>
        <family val="2"/>
        <charset val="161"/>
      </rPr>
      <t>N</t>
    </r>
    <r>
      <rPr>
        <b/>
        <vertAlign val="subscript"/>
        <sz val="10"/>
        <color indexed="52"/>
        <rFont val="Arial"/>
        <family val="2"/>
        <charset val="161"/>
      </rPr>
      <t>2(g)</t>
    </r>
    <r>
      <rPr>
        <sz val="10"/>
        <color indexed="43"/>
        <rFont val="Arial"/>
        <family val="2"/>
        <charset val="161"/>
      </rPr>
      <t xml:space="preserve"> είναι </t>
    </r>
    <r>
      <rPr>
        <b/>
        <sz val="10"/>
        <color indexed="52"/>
        <rFont val="Arial"/>
        <family val="2"/>
        <charset val="161"/>
      </rPr>
      <t>P</t>
    </r>
    <r>
      <rPr>
        <b/>
        <vertAlign val="subscript"/>
        <sz val="10"/>
        <color indexed="52"/>
        <rFont val="Arial"/>
        <family val="2"/>
        <charset val="161"/>
      </rPr>
      <t>1</t>
    </r>
    <r>
      <rPr>
        <b/>
        <sz val="10"/>
        <color indexed="52"/>
        <rFont val="Arial"/>
        <family val="2"/>
        <charset val="161"/>
      </rPr>
      <t>=1atm,</t>
    </r>
    <r>
      <rPr>
        <sz val="10"/>
        <color indexed="43"/>
        <rFont val="Arial"/>
        <family val="2"/>
        <charset val="161"/>
      </rPr>
      <t xml:space="preserve"> τότε</t>
    </r>
    <r>
      <rPr>
        <b/>
        <sz val="10"/>
        <color indexed="43"/>
        <rFont val="Arial"/>
        <family val="2"/>
      </rPr>
      <t>:</t>
    </r>
  </si>
  <si>
    <r>
      <t xml:space="preserve">Σε κλειστό δοχείο σταθερού όγκου αποκαθίσταται η παραπάνω ΧΙ, που σε </t>
    </r>
    <r>
      <rPr>
        <b/>
        <sz val="10"/>
        <color indexed="52"/>
        <rFont val="Arial"/>
        <family val="2"/>
        <charset val="161"/>
      </rPr>
      <t>θ°C,</t>
    </r>
    <r>
      <rPr>
        <sz val="10"/>
        <color indexed="43"/>
        <rFont val="Arial"/>
        <family val="2"/>
      </rPr>
      <t xml:space="preserve"> έχει σταθερά </t>
    </r>
    <r>
      <rPr>
        <b/>
        <sz val="10"/>
        <color indexed="52"/>
        <rFont val="Arial"/>
        <family val="2"/>
        <charset val="161"/>
      </rPr>
      <t>K</t>
    </r>
    <r>
      <rPr>
        <b/>
        <vertAlign val="subscript"/>
        <sz val="10"/>
        <color indexed="52"/>
        <rFont val="Arial"/>
        <family val="2"/>
        <charset val="161"/>
      </rPr>
      <t>P</t>
    </r>
    <r>
      <rPr>
        <b/>
        <sz val="10"/>
        <color indexed="52"/>
        <rFont val="Arial"/>
        <family val="2"/>
        <charset val="161"/>
      </rPr>
      <t>=0,8atm.</t>
    </r>
    <r>
      <rPr>
        <b/>
        <sz val="10"/>
        <color indexed="43"/>
        <rFont val="Arial"/>
        <family val="2"/>
      </rPr>
      <t xml:space="preserve"> </t>
    </r>
    <r>
      <rPr>
        <sz val="10"/>
        <color indexed="43"/>
        <rFont val="Arial"/>
        <family val="2"/>
      </rPr>
      <t xml:space="preserve">Από τα δεδομένα του προβλήματος προκύπτει ότι: </t>
    </r>
  </si>
  <si>
    <r>
      <t xml:space="preserve">Όπως φαίνεται και από τον παραπάνω πίνακα, σε ένα κλειστό δο- χείο </t>
    </r>
    <r>
      <rPr>
        <b/>
        <sz val="10"/>
        <color indexed="52"/>
        <rFont val="Arial"/>
        <family val="2"/>
        <charset val="161"/>
      </rPr>
      <t>μεταβλητού</t>
    </r>
    <r>
      <rPr>
        <sz val="10"/>
        <color indexed="43"/>
        <rFont val="Arial"/>
        <family val="2"/>
        <charset val="161"/>
      </rPr>
      <t xml:space="preserve"> όγκου έχει αποκατασταθεί η παραπάνω ΧΙ, υπό πίεση </t>
    </r>
    <r>
      <rPr>
        <b/>
        <sz val="10"/>
        <color indexed="52"/>
        <rFont val="Arial"/>
        <family val="2"/>
        <charset val="161"/>
      </rPr>
      <t>P</t>
    </r>
    <r>
      <rPr>
        <b/>
        <vertAlign val="subscript"/>
        <sz val="10"/>
        <color indexed="52"/>
        <rFont val="Arial"/>
        <family val="2"/>
        <charset val="161"/>
      </rPr>
      <t>ολ.α.</t>
    </r>
    <r>
      <rPr>
        <sz val="10"/>
        <color indexed="43"/>
        <rFont val="Arial"/>
        <family val="2"/>
        <charset val="161"/>
      </rPr>
      <t xml:space="preserve"> (αρχική ολική πίεση). Στην </t>
    </r>
    <r>
      <rPr>
        <b/>
        <sz val="10"/>
        <color indexed="52"/>
        <rFont val="Arial"/>
        <family val="2"/>
        <charset val="161"/>
      </rPr>
      <t>αρχική ΚΧΙ,</t>
    </r>
    <r>
      <rPr>
        <sz val="10"/>
        <color indexed="43"/>
        <rFont val="Arial"/>
        <family val="2"/>
        <charset val="161"/>
      </rPr>
      <t xml:space="preserve"> το </t>
    </r>
    <r>
      <rPr>
        <b/>
        <sz val="10"/>
        <color indexed="52"/>
        <rFont val="Arial"/>
        <family val="2"/>
        <charset val="161"/>
      </rPr>
      <t>μοριακό</t>
    </r>
    <r>
      <rPr>
        <sz val="10"/>
        <color indexed="52"/>
        <rFont val="Arial"/>
        <family val="2"/>
        <charset val="161"/>
      </rPr>
      <t xml:space="preserve"> </t>
    </r>
    <r>
      <rPr>
        <b/>
        <sz val="10"/>
        <color indexed="52"/>
        <rFont val="Arial"/>
        <family val="2"/>
        <charset val="161"/>
      </rPr>
      <t>κλάσμα</t>
    </r>
    <r>
      <rPr>
        <sz val="10"/>
        <color indexed="43"/>
        <rFont val="Arial"/>
        <family val="2"/>
        <charset val="161"/>
      </rPr>
      <t xml:space="preserve"> του </t>
    </r>
    <r>
      <rPr>
        <b/>
        <sz val="10"/>
        <color indexed="52"/>
        <rFont val="Arial"/>
        <family val="2"/>
        <charset val="161"/>
      </rPr>
      <t>CO</t>
    </r>
    <r>
      <rPr>
        <b/>
        <vertAlign val="subscript"/>
        <sz val="10"/>
        <color indexed="52"/>
        <rFont val="Arial"/>
        <family val="2"/>
        <charset val="161"/>
      </rPr>
      <t>2</t>
    </r>
    <r>
      <rPr>
        <b/>
        <sz val="10"/>
        <color indexed="52"/>
        <rFont val="Arial"/>
        <family val="2"/>
        <charset val="161"/>
      </rPr>
      <t>,</t>
    </r>
    <r>
      <rPr>
        <b/>
        <sz val="10"/>
        <color indexed="43"/>
        <rFont val="Arial"/>
        <family val="2"/>
      </rPr>
      <t xml:space="preserve"> </t>
    </r>
    <r>
      <rPr>
        <b/>
        <sz val="10"/>
        <color indexed="10"/>
        <rFont val="Arial"/>
        <family val="2"/>
        <charset val="161"/>
      </rPr>
      <t>γ</t>
    </r>
    <r>
      <rPr>
        <b/>
        <vertAlign val="subscript"/>
        <sz val="10"/>
        <color indexed="10"/>
        <rFont val="Arial"/>
        <family val="2"/>
        <charset val="161"/>
      </rPr>
      <t>1α.</t>
    </r>
    <r>
      <rPr>
        <b/>
        <sz val="10"/>
        <color indexed="10"/>
        <rFont val="Arial"/>
        <family val="2"/>
        <charset val="161"/>
      </rPr>
      <t>,</t>
    </r>
    <r>
      <rPr>
        <sz val="10"/>
        <color indexed="43"/>
        <rFont val="Arial"/>
        <family val="2"/>
        <charset val="161"/>
      </rPr>
      <t xml:space="preserve"> είναι </t>
    </r>
    <r>
      <rPr>
        <b/>
        <sz val="10"/>
        <color indexed="52"/>
        <rFont val="Arial"/>
        <family val="2"/>
        <charset val="161"/>
      </rPr>
      <t>γ</t>
    </r>
    <r>
      <rPr>
        <b/>
        <vertAlign val="subscript"/>
        <sz val="10"/>
        <color indexed="52"/>
        <rFont val="Arial"/>
        <family val="2"/>
        <charset val="161"/>
      </rPr>
      <t>1α.</t>
    </r>
    <r>
      <rPr>
        <b/>
        <sz val="10"/>
        <color indexed="52"/>
        <rFont val="Arial"/>
        <family val="2"/>
        <charset val="161"/>
      </rPr>
      <t>=0,5.</t>
    </r>
    <r>
      <rPr>
        <sz val="10"/>
        <color indexed="43"/>
        <rFont val="Arial"/>
        <family val="2"/>
        <charset val="161"/>
      </rPr>
      <t xml:space="preserve"> Μεταβάλλοντας την πίεση α-πό </t>
    </r>
    <r>
      <rPr>
        <b/>
        <sz val="10"/>
        <color indexed="52"/>
        <rFont val="Arial"/>
        <family val="2"/>
        <charset val="161"/>
      </rPr>
      <t>P</t>
    </r>
    <r>
      <rPr>
        <b/>
        <vertAlign val="subscript"/>
        <sz val="10"/>
        <color indexed="52"/>
        <rFont val="Arial"/>
        <family val="2"/>
        <charset val="161"/>
      </rPr>
      <t>ολ.α.</t>
    </r>
    <r>
      <rPr>
        <sz val="10"/>
        <color indexed="43"/>
        <rFont val="Arial"/>
        <family val="2"/>
        <charset val="161"/>
      </rPr>
      <t xml:space="preserve"> σε </t>
    </r>
    <r>
      <rPr>
        <b/>
        <sz val="10"/>
        <color indexed="52"/>
        <rFont val="Arial"/>
        <family val="2"/>
        <charset val="161"/>
      </rPr>
      <t>P</t>
    </r>
    <r>
      <rPr>
        <b/>
        <vertAlign val="subscript"/>
        <sz val="10"/>
        <color indexed="52"/>
        <rFont val="Arial"/>
        <family val="2"/>
        <charset val="161"/>
      </rPr>
      <t>ολ.τ.</t>
    </r>
    <r>
      <rPr>
        <b/>
        <sz val="10"/>
        <color indexed="52"/>
        <rFont val="Arial"/>
        <family val="2"/>
        <charset val="161"/>
      </rPr>
      <t>,</t>
    </r>
    <r>
      <rPr>
        <sz val="10"/>
        <color indexed="43"/>
        <rFont val="Arial"/>
        <family val="2"/>
        <charset val="161"/>
      </rPr>
      <t xml:space="preserve"> προκαλούμε μεταβολή στον όγκο του δοχείου από </t>
    </r>
    <r>
      <rPr>
        <b/>
        <sz val="10"/>
        <color indexed="52"/>
        <rFont val="Arial"/>
        <family val="2"/>
        <charset val="161"/>
      </rPr>
      <t>V</t>
    </r>
    <r>
      <rPr>
        <b/>
        <vertAlign val="subscript"/>
        <sz val="10"/>
        <color indexed="52"/>
        <rFont val="Arial"/>
        <family val="2"/>
        <charset val="161"/>
      </rPr>
      <t>ολ.α.</t>
    </r>
    <r>
      <rPr>
        <sz val="10"/>
        <color indexed="43"/>
        <rFont val="Arial"/>
        <family val="2"/>
        <charset val="161"/>
      </rPr>
      <t xml:space="preserve"> σε </t>
    </r>
    <r>
      <rPr>
        <b/>
        <sz val="10"/>
        <color indexed="52"/>
        <rFont val="Arial"/>
        <family val="2"/>
        <charset val="161"/>
      </rPr>
      <t>V</t>
    </r>
    <r>
      <rPr>
        <b/>
        <vertAlign val="subscript"/>
        <sz val="10"/>
        <color indexed="52"/>
        <rFont val="Arial"/>
        <family val="2"/>
        <charset val="161"/>
      </rPr>
      <t>ολ.τ.</t>
    </r>
    <r>
      <rPr>
        <b/>
        <sz val="10"/>
        <color rgb="FFFF9900"/>
        <rFont val="Arial"/>
        <family val="2"/>
        <charset val="161"/>
      </rPr>
      <t>.</t>
    </r>
    <r>
      <rPr>
        <sz val="10"/>
        <color indexed="43"/>
        <rFont val="Arial"/>
        <family val="2"/>
        <charset val="161"/>
      </rPr>
      <t xml:space="preserve"> Αυτό έχει ως αποτέλεσμα, να μετατοπιστεί η αρχική θέση ισορροπίας, σε μια νέα θέση, τέτοια ώστε σ' αυτή τη νέα θέση ισορροπίας, για το μοριακό κλάσμα του </t>
    </r>
    <r>
      <rPr>
        <b/>
        <sz val="10"/>
        <color indexed="52"/>
        <rFont val="Arial"/>
        <family val="2"/>
        <charset val="161"/>
      </rPr>
      <t>CO</t>
    </r>
    <r>
      <rPr>
        <b/>
        <vertAlign val="subscript"/>
        <sz val="10"/>
        <color indexed="52"/>
        <rFont val="Arial"/>
        <family val="2"/>
        <charset val="161"/>
      </rPr>
      <t>2</t>
    </r>
    <r>
      <rPr>
        <b/>
        <sz val="10"/>
        <color indexed="52"/>
        <rFont val="Arial"/>
        <family val="2"/>
        <charset val="161"/>
      </rPr>
      <t>,</t>
    </r>
    <r>
      <rPr>
        <b/>
        <sz val="10"/>
        <color indexed="43"/>
        <rFont val="Arial"/>
        <family val="2"/>
      </rPr>
      <t xml:space="preserve"> </t>
    </r>
    <r>
      <rPr>
        <b/>
        <sz val="10"/>
        <color indexed="10"/>
        <rFont val="Arial"/>
        <family val="2"/>
        <charset val="161"/>
      </rPr>
      <t>γ</t>
    </r>
    <r>
      <rPr>
        <b/>
        <vertAlign val="subscript"/>
        <sz val="10"/>
        <color indexed="10"/>
        <rFont val="Arial"/>
        <family val="2"/>
        <charset val="161"/>
      </rPr>
      <t>1τ.</t>
    </r>
    <r>
      <rPr>
        <sz val="10"/>
        <color indexed="43"/>
        <rFont val="Arial"/>
        <family val="2"/>
        <charset val="161"/>
      </rPr>
      <t xml:space="preserve"> να είναι  </t>
    </r>
    <r>
      <rPr>
        <b/>
        <sz val="10"/>
        <color indexed="52"/>
        <rFont val="Arial"/>
        <family val="2"/>
        <charset val="161"/>
      </rPr>
      <t>γ</t>
    </r>
    <r>
      <rPr>
        <b/>
        <vertAlign val="subscript"/>
        <sz val="10"/>
        <color indexed="52"/>
        <rFont val="Arial"/>
        <family val="2"/>
        <charset val="161"/>
      </rPr>
      <t>1τ.</t>
    </r>
    <r>
      <rPr>
        <b/>
        <sz val="10"/>
        <color indexed="52"/>
        <rFont val="Arial"/>
        <family val="2"/>
        <charset val="161"/>
      </rPr>
      <t>=0,8.</t>
    </r>
    <r>
      <rPr>
        <sz val="10"/>
        <color indexed="43"/>
        <rFont val="Arial"/>
        <family val="2"/>
        <charset val="161"/>
      </rPr>
      <t xml:space="preserve"> </t>
    </r>
  </si>
  <si>
    <r>
      <t xml:space="preserve">Η τιμή του </t>
    </r>
    <r>
      <rPr>
        <b/>
        <sz val="10"/>
        <color indexed="52"/>
        <rFont val="Arial"/>
        <family val="2"/>
        <charset val="161"/>
      </rPr>
      <t>πηλίκου της αντίδρασης</t>
    </r>
    <r>
      <rPr>
        <sz val="10"/>
        <color indexed="52"/>
        <rFont val="Arial"/>
        <family val="2"/>
        <charset val="161"/>
      </rPr>
      <t xml:space="preserve"> </t>
    </r>
    <r>
      <rPr>
        <b/>
        <sz val="10"/>
        <color indexed="52"/>
        <rFont val="Arial"/>
        <family val="2"/>
        <charset val="161"/>
      </rPr>
      <t>Q</t>
    </r>
    <r>
      <rPr>
        <b/>
        <vertAlign val="subscript"/>
        <sz val="10"/>
        <color indexed="52"/>
        <rFont val="Arial"/>
        <family val="2"/>
        <charset val="161"/>
      </rPr>
      <t>C</t>
    </r>
    <r>
      <rPr>
        <sz val="10"/>
        <color indexed="43"/>
        <rFont val="Arial"/>
        <family val="2"/>
      </rPr>
      <t xml:space="preserve"> στη νέα κατά- σταση που διαμορφώθηκε για την παραπάνω αντίδρα-ση  μετά τις δύο μεταβολές που επιφέραμε, είναι:</t>
    </r>
  </si>
  <si>
    <r>
      <t xml:space="preserve">Αν ο όγκος του χώρου όπου αποκαθίσταται η παραπά- νω ΧΙ είναι </t>
    </r>
    <r>
      <rPr>
        <b/>
        <sz val="10"/>
        <color indexed="52"/>
        <rFont val="Arial"/>
        <family val="2"/>
        <charset val="161"/>
      </rPr>
      <t>V=3L,</t>
    </r>
    <r>
      <rPr>
        <sz val="10"/>
        <color indexed="43"/>
        <rFont val="Arial"/>
        <family val="2"/>
      </rPr>
      <t xml:space="preserve"> τότε η τιμή της σταθεράς </t>
    </r>
    <r>
      <rPr>
        <b/>
        <sz val="10"/>
        <color indexed="52"/>
        <rFont val="Arial"/>
        <family val="2"/>
        <charset val="161"/>
      </rPr>
      <t>K</t>
    </r>
    <r>
      <rPr>
        <b/>
        <vertAlign val="subscript"/>
        <sz val="10"/>
        <color indexed="52"/>
        <rFont val="Arial"/>
        <family val="2"/>
        <charset val="161"/>
      </rPr>
      <t>C</t>
    </r>
    <r>
      <rPr>
        <sz val="10"/>
        <color indexed="43"/>
        <rFont val="Arial"/>
        <family val="2"/>
      </rPr>
      <t xml:space="preserve"> της ΧΙ σε </t>
    </r>
    <r>
      <rPr>
        <b/>
        <sz val="10"/>
        <color indexed="52"/>
        <rFont val="Arial"/>
        <family val="2"/>
        <charset val="161"/>
      </rPr>
      <t>θ°C,</t>
    </r>
    <r>
      <rPr>
        <b/>
        <sz val="10"/>
        <color indexed="43"/>
        <rFont val="Arial"/>
        <family val="2"/>
      </rPr>
      <t xml:space="preserve"> </t>
    </r>
    <r>
      <rPr>
        <sz val="10"/>
        <color indexed="43"/>
        <rFont val="Arial"/>
        <family val="2"/>
      </rPr>
      <t>είναι...</t>
    </r>
    <r>
      <rPr>
        <b/>
        <sz val="10"/>
        <color indexed="52"/>
        <rFont val="Arial"/>
        <family val="2"/>
        <charset val="161"/>
      </rPr>
      <t>(να μη γραφούν μονάδες για την K</t>
    </r>
    <r>
      <rPr>
        <b/>
        <vertAlign val="subscript"/>
        <sz val="10"/>
        <color indexed="52"/>
        <rFont val="Arial"/>
        <family val="2"/>
        <charset val="161"/>
      </rPr>
      <t>C</t>
    </r>
    <r>
      <rPr>
        <b/>
        <sz val="10"/>
        <color indexed="52"/>
        <rFont val="Arial"/>
        <family val="2"/>
        <charset val="161"/>
      </rPr>
      <t xml:space="preserve">): </t>
    </r>
  </si>
  <si>
    <r>
      <t>Εισάγουμε ταυτόχρονα στο δοχείο</t>
    </r>
    <r>
      <rPr>
        <b/>
        <sz val="10"/>
        <color indexed="43"/>
        <rFont val="Arial"/>
        <family val="2"/>
      </rPr>
      <t xml:space="preserve"> </t>
    </r>
    <r>
      <rPr>
        <b/>
        <sz val="10"/>
        <color indexed="52"/>
        <rFont val="Arial"/>
        <family val="2"/>
        <charset val="161"/>
      </rPr>
      <t>1,5mol H</t>
    </r>
    <r>
      <rPr>
        <b/>
        <vertAlign val="subscript"/>
        <sz val="10"/>
        <color indexed="52"/>
        <rFont val="Arial"/>
        <family val="2"/>
        <charset val="161"/>
      </rPr>
      <t>2</t>
    </r>
    <r>
      <rPr>
        <sz val="10"/>
        <color indexed="43"/>
        <rFont val="Arial"/>
        <family val="2"/>
      </rPr>
      <t xml:space="preserve"> και </t>
    </r>
    <r>
      <rPr>
        <b/>
        <sz val="10"/>
        <color indexed="52"/>
        <rFont val="Arial"/>
        <family val="2"/>
        <charset val="161"/>
      </rPr>
      <t>0,6mol HI</t>
    </r>
    <r>
      <rPr>
        <sz val="10"/>
        <color indexed="43"/>
        <rFont val="Arial"/>
        <family val="2"/>
      </rPr>
      <t xml:space="preserve"> (όλα αέρια). 
Να αποδειχθεί ότι τα τρία αέρια δε βρίσκονται πλέον σε ΚΧΙ, να εξακριβωθεί προς ποια κατεύθυν-ση οδεύει το σύστημα προς αποκατάσταση της χημικής ισορροπίας του και να υπολογιστούν οι ποσότητες όλων των αερίων, που θα περιέχονται τελικά στο δοχείο, όταν αποκατασταθεί και πάλι χημική ισορροπία σ' αυτό.</t>
    </r>
  </si>
  <si>
    <r>
      <t xml:space="preserve">Τα τελευταίο συμπέρασμα εξηγεί γιατί στην κατάστρωση που σχηματίστηκε παραπάνω, στη θέση </t>
    </r>
    <r>
      <rPr>
        <b/>
        <sz val="10"/>
        <color indexed="52"/>
        <rFont val="Arial"/>
        <family val="2"/>
        <charset val="161"/>
      </rPr>
      <t>"αντιδρούν",</t>
    </r>
    <r>
      <rPr>
        <sz val="10"/>
        <color indexed="43"/>
        <rFont val="Arial"/>
        <family val="2"/>
        <charset val="161"/>
      </rPr>
      <t xml:space="preserve"> αναφέρθηκε ότι αντιδρούν</t>
    </r>
    <r>
      <rPr>
        <b/>
        <sz val="10"/>
        <color indexed="43"/>
        <rFont val="Arial"/>
        <family val="2"/>
      </rPr>
      <t xml:space="preserve"> </t>
    </r>
    <r>
      <rPr>
        <b/>
        <sz val="10"/>
        <color indexed="52"/>
        <rFont val="Arial"/>
        <family val="2"/>
        <charset val="161"/>
      </rPr>
      <t>"xmol H</t>
    </r>
    <r>
      <rPr>
        <b/>
        <vertAlign val="subscript"/>
        <sz val="10"/>
        <color indexed="52"/>
        <rFont val="Arial"/>
        <family val="2"/>
        <charset val="161"/>
      </rPr>
      <t>2</t>
    </r>
    <r>
      <rPr>
        <b/>
        <sz val="10"/>
        <color indexed="52"/>
        <rFont val="Arial"/>
        <family val="2"/>
        <charset val="161"/>
      </rPr>
      <t>"</t>
    </r>
    <r>
      <rPr>
        <b/>
        <sz val="10"/>
        <color indexed="43"/>
        <rFont val="Arial"/>
        <family val="2"/>
      </rPr>
      <t xml:space="preserve"> </t>
    </r>
    <r>
      <rPr>
        <sz val="10"/>
        <color indexed="43"/>
        <rFont val="Arial"/>
        <family val="2"/>
        <charset val="161"/>
      </rPr>
      <t xml:space="preserve">με </t>
    </r>
    <r>
      <rPr>
        <b/>
        <sz val="10"/>
        <color indexed="52"/>
        <rFont val="Arial"/>
        <family val="2"/>
        <charset val="161"/>
      </rPr>
      <t>"xmol I</t>
    </r>
    <r>
      <rPr>
        <b/>
        <vertAlign val="subscript"/>
        <sz val="10"/>
        <color indexed="52"/>
        <rFont val="Arial"/>
        <family val="2"/>
        <charset val="161"/>
      </rPr>
      <t>2</t>
    </r>
    <r>
      <rPr>
        <b/>
        <sz val="10"/>
        <color indexed="52"/>
        <rFont val="Arial"/>
        <family val="2"/>
        <charset val="161"/>
      </rPr>
      <t>",</t>
    </r>
    <r>
      <rPr>
        <sz val="10"/>
        <color indexed="43"/>
        <rFont val="Arial"/>
        <family val="2"/>
        <charset val="161"/>
      </rPr>
      <t xml:space="preserve"> δηλαδή η α-ντίδραση γίνεται προς τα δεξιά.</t>
    </r>
  </si>
  <si>
    <r>
      <t xml:space="preserve">Είναι λογικό να προβληματιστεί κάποιος σε μια τέτοια περίπτωση, για το πόσο πολύ προχώρησε η αντίδραση προς τα δεξιά, δηλαδή πόσο μεγάλη ποσότητα αμμωνίας σχηματίστηκε μέχρι να αποκα-τασταθεί χημική ισορροπία, δηλαδή μέχρι να φθάσει η αντίδραση στο σημείο εκείνο που από εκεί και πέρα η ποσότητα της αμμωνίας δεν αυξάνεται άλλο, επειδή όσο γρήγορα παράγεται από το </t>
    </r>
    <r>
      <rPr>
        <b/>
        <sz val="10"/>
        <color indexed="52"/>
        <rFont val="Arial"/>
        <family val="2"/>
        <charset val="161"/>
      </rPr>
      <t>Ν</t>
    </r>
    <r>
      <rPr>
        <b/>
        <vertAlign val="subscript"/>
        <sz val="10"/>
        <color indexed="52"/>
        <rFont val="Arial"/>
        <family val="2"/>
        <charset val="161"/>
      </rPr>
      <t>2</t>
    </r>
    <r>
      <rPr>
        <sz val="10"/>
        <color indexed="43"/>
        <rFont val="Arial"/>
        <family val="2"/>
        <charset val="161"/>
      </rPr>
      <t xml:space="preserve"> και το </t>
    </r>
    <r>
      <rPr>
        <b/>
        <sz val="10"/>
        <color indexed="52"/>
        <rFont val="Arial"/>
        <family val="2"/>
        <charset val="161"/>
      </rPr>
      <t>Η</t>
    </r>
    <r>
      <rPr>
        <b/>
        <vertAlign val="subscript"/>
        <sz val="10"/>
        <color indexed="52"/>
        <rFont val="Arial"/>
        <family val="2"/>
        <charset val="161"/>
      </rPr>
      <t>2</t>
    </r>
    <r>
      <rPr>
        <b/>
        <sz val="10"/>
        <color indexed="52"/>
        <rFont val="Arial"/>
        <family val="2"/>
        <charset val="161"/>
      </rPr>
      <t>,</t>
    </r>
    <r>
      <rPr>
        <b/>
        <sz val="10"/>
        <color indexed="43"/>
        <rFont val="Arial"/>
        <family val="2"/>
      </rPr>
      <t xml:space="preserve"> </t>
    </r>
    <r>
      <rPr>
        <sz val="10"/>
        <color indexed="43"/>
        <rFont val="Arial"/>
        <family val="2"/>
        <charset val="161"/>
      </rPr>
      <t>τόσο γρήγορα διασπάται από την άλλη μεριά σε αυτά.</t>
    </r>
  </si>
  <si>
    <t xml:space="preserve">Στην πραγματικότητα όμως η αντίδραση είναι αμφίδρομη και η κατάληξή της δεν είναι να σταματήσει να γίνεται, όταν από κάποια στιγμή και μετά τελειώσει η ποσότητα κάποιου από τα αντιδρώντα.
Αφού η αντίδραση είναι αμφίδρομη, θα καταλήξει σε ΚΧΙ, μέσα στο δοχείο θα περιέχονται όλα τα σώματα και τα αντιδρώντα και τα προϊόντα και η κατάστρωση που συμφωνεί με όλα αυτά, φαίνεται παρακάτω. </t>
  </si>
  <si>
    <r>
      <t xml:space="preserve">Το test που ακολουθεί αναφέρεται στη Χημική Ισορροπία </t>
    </r>
    <r>
      <rPr>
        <b/>
        <sz val="10"/>
        <color indexed="52"/>
        <rFont val="Arial"/>
        <family val="2"/>
        <charset val="161"/>
      </rPr>
      <t>(ΧΙ)</t>
    </r>
    <r>
      <rPr>
        <sz val="10"/>
        <color indexed="43"/>
        <rFont val="Arial"/>
        <family val="2"/>
        <charset val="161"/>
      </rPr>
      <t xml:space="preserve"> και είναι φτιαγμένο σε μορ-φή </t>
    </r>
    <r>
      <rPr>
        <b/>
        <sz val="10"/>
        <color indexed="52"/>
        <rFont val="Arial"/>
        <family val="2"/>
        <charset val="161"/>
      </rPr>
      <t>Microsoft Office 2013/excel,</t>
    </r>
    <r>
      <rPr>
        <sz val="10"/>
        <color indexed="43"/>
        <rFont val="Arial"/>
        <family val="2"/>
        <charset val="161"/>
      </rPr>
      <t xml:space="preserve">  σε υπολογιστή που λειτουργεί με </t>
    </r>
    <r>
      <rPr>
        <b/>
        <sz val="10"/>
        <color indexed="52"/>
        <rFont val="Arial"/>
        <family val="2"/>
        <charset val="161"/>
      </rPr>
      <t>Windows</t>
    </r>
    <r>
      <rPr>
        <sz val="10"/>
        <color indexed="52"/>
        <rFont val="Arial"/>
        <family val="2"/>
        <charset val="161"/>
      </rPr>
      <t xml:space="preserve"> </t>
    </r>
    <r>
      <rPr>
        <b/>
        <sz val="10"/>
        <color indexed="52"/>
        <rFont val="Arial"/>
        <family val="2"/>
        <charset val="161"/>
      </rPr>
      <t>7.</t>
    </r>
    <r>
      <rPr>
        <b/>
        <sz val="10"/>
        <color indexed="43"/>
        <rFont val="Arial"/>
        <family val="2"/>
      </rPr>
      <t xml:space="preserve"> 
</t>
    </r>
    <r>
      <rPr>
        <sz val="10"/>
        <color indexed="43"/>
        <rFont val="Arial"/>
        <family val="2"/>
        <charset val="161"/>
      </rPr>
      <t xml:space="preserve">Ο ασκούμενος καλείται να συμπληρώσει τα κενά κελιά με το πορτοκαλί χρώμα, όπως π.χ. τα </t>
    </r>
    <r>
      <rPr>
        <b/>
        <sz val="10"/>
        <color indexed="52"/>
        <rFont val="Arial"/>
        <family val="2"/>
        <charset val="161"/>
      </rPr>
      <t>F25,</t>
    </r>
    <r>
      <rPr>
        <sz val="10"/>
        <color indexed="43"/>
        <rFont val="Arial"/>
        <family val="2"/>
        <charset val="161"/>
      </rPr>
      <t xml:space="preserve"> </t>
    </r>
    <r>
      <rPr>
        <b/>
        <sz val="10"/>
        <color indexed="52"/>
        <rFont val="Arial"/>
        <family val="2"/>
        <charset val="161"/>
      </rPr>
      <t>F28</t>
    </r>
    <r>
      <rPr>
        <sz val="10"/>
        <color indexed="43"/>
        <rFont val="Arial"/>
        <family val="2"/>
        <charset val="161"/>
      </rPr>
      <t xml:space="preserve"> κλπ, σύμφωνα πάντα με κάποιες απλές οδηγίες, που δίνονται συνήθως με τη μορφή σχολίου σε κάποιο διπλανό κελί. Οι πόντοι που συγκεντρώνονται από τις σωστές απαντήσεις, για κάθε άσκηση, εμφανίζονται στο τέλος της άσκησης σε κάποιο κελί της στήλης </t>
    </r>
    <r>
      <rPr>
        <b/>
        <sz val="10"/>
        <color indexed="52"/>
        <rFont val="Arial"/>
        <family val="2"/>
        <charset val="161"/>
      </rPr>
      <t>"Κ".</t>
    </r>
    <r>
      <rPr>
        <sz val="10"/>
        <color indexed="43"/>
        <rFont val="Arial"/>
        <family val="2"/>
        <charset val="161"/>
      </rPr>
      <t xml:space="preserve"> Για παράδειγμα οι πόντοι της 1ης άσκησης εμφανίζονται στο  κελί </t>
    </r>
    <r>
      <rPr>
        <b/>
        <sz val="10"/>
        <color indexed="52"/>
        <rFont val="Arial"/>
        <family val="2"/>
        <charset val="161"/>
      </rPr>
      <t>K34.</t>
    </r>
    <r>
      <rPr>
        <b/>
        <sz val="10"/>
        <color indexed="43"/>
        <rFont val="Arial"/>
        <family val="2"/>
      </rPr>
      <t xml:space="preserve"> </t>
    </r>
    <r>
      <rPr>
        <b/>
        <sz val="10"/>
        <color indexed="10"/>
        <rFont val="Arial"/>
        <family val="2"/>
        <charset val="161"/>
      </rPr>
      <t>ΠΡΟΣΟΧΗ!</t>
    </r>
    <r>
      <rPr>
        <b/>
        <sz val="10"/>
        <color indexed="43"/>
        <rFont val="Arial"/>
        <family val="2"/>
      </rPr>
      <t xml:space="preserve"> </t>
    </r>
    <r>
      <rPr>
        <sz val="10"/>
        <color indexed="43"/>
        <rFont val="Arial"/>
        <family val="2"/>
      </rPr>
      <t xml:space="preserve">Συνήθως για να εμφανιστούν οι πόντοι που συγκεντρώνονται σε μια ά-σκηση,  θα πρέπει να έχουν απαντηθεί </t>
    </r>
    <r>
      <rPr>
        <b/>
        <sz val="10"/>
        <color indexed="52"/>
        <rFont val="Arial"/>
        <family val="2"/>
        <charset val="161"/>
      </rPr>
      <t>όλα</t>
    </r>
    <r>
      <rPr>
        <sz val="10"/>
        <color indexed="43"/>
        <rFont val="Arial"/>
        <family val="2"/>
      </rPr>
      <t xml:space="preserve"> τα επιμέρους ερωτήματα της άσκησης αυτής.</t>
    </r>
    <r>
      <rPr>
        <sz val="10"/>
        <color indexed="43"/>
        <rFont val="Arial"/>
        <family val="2"/>
        <charset val="161"/>
      </rPr>
      <t xml:space="preserve">
Για οποιοδήποτε σχόλιο, παρατήρηση, ερώτηση κλπ, παρακαλώ επικοινωνήστε στη δι-εύθυνση: </t>
    </r>
    <r>
      <rPr>
        <b/>
        <sz val="10"/>
        <color indexed="52"/>
        <rFont val="Arial"/>
        <family val="2"/>
        <charset val="161"/>
      </rPr>
      <t>chmtou@gmail.com.</t>
    </r>
    <r>
      <rPr>
        <sz val="10"/>
        <color indexed="43"/>
        <rFont val="Arial"/>
        <family val="2"/>
        <charset val="161"/>
      </rPr>
      <t xml:space="preserve"> </t>
    </r>
  </si>
  <si>
    <r>
      <t xml:space="preserve">Στην άσκηση αυτή δίνεται κάθε φορά μια αμφίδρομη αντίδραση και κάποια στοιχεία που αναφέρονται σ' αυτήν. Συνήθως τα στοιχεία που δίνονται αναφέρονται στην </t>
    </r>
    <r>
      <rPr>
        <b/>
        <sz val="10"/>
        <color indexed="52"/>
        <rFont val="Arial"/>
        <family val="2"/>
        <charset val="161"/>
      </rPr>
      <t>αρχική φάση</t>
    </r>
    <r>
      <rPr>
        <sz val="10"/>
        <color indexed="43"/>
        <rFont val="Arial"/>
        <family val="2"/>
        <charset val="161"/>
      </rPr>
      <t xml:space="preserve"> πραγματοποίησης της αντίδρασης </t>
    </r>
    <r>
      <rPr>
        <b/>
        <sz val="10"/>
        <color indexed="52"/>
        <rFont val="Arial"/>
        <family val="2"/>
        <charset val="161"/>
      </rPr>
      <t>(αρχικά),</t>
    </r>
    <r>
      <rPr>
        <sz val="10"/>
        <color indexed="43"/>
        <rFont val="Arial"/>
        <family val="2"/>
        <charset val="161"/>
      </rPr>
      <t xml:space="preserve"> αλλά και στην </t>
    </r>
    <r>
      <rPr>
        <b/>
        <sz val="10"/>
        <color indexed="52"/>
        <rFont val="Arial"/>
        <family val="2"/>
        <charset val="161"/>
      </rPr>
      <t>ΚΧΙ</t>
    </r>
    <r>
      <rPr>
        <sz val="10"/>
        <color indexed="43"/>
        <rFont val="Arial"/>
        <family val="2"/>
        <charset val="161"/>
      </rPr>
      <t xml:space="preserve"> όταν η αντίδραση φθάσει σε αυτήν </t>
    </r>
    <r>
      <rPr>
        <b/>
        <sz val="10"/>
        <color indexed="52"/>
        <rFont val="Arial"/>
        <family val="2"/>
        <charset val="161"/>
      </rPr>
      <t>(τελικά).</t>
    </r>
    <r>
      <rPr>
        <sz val="10"/>
        <color indexed="43"/>
        <rFont val="Arial"/>
        <family val="2"/>
        <charset val="161"/>
      </rPr>
      <t xml:space="preserve"> Σε κάθε περίπτωση πρέπει να συμπληρωθεί ο πίνακας που βρίσκεται κάτω από την αντίστοιχη χημική εξίσωση (ποσότητες που αντέδρασαν, παράχθηκαν, τε-λικές ποσότητες αντιδρώντων-προϊόντων σε </t>
    </r>
    <r>
      <rPr>
        <b/>
        <sz val="10"/>
        <color indexed="52"/>
        <rFont val="Arial"/>
        <family val="2"/>
        <charset val="161"/>
      </rPr>
      <t>mol</t>
    </r>
    <r>
      <rPr>
        <sz val="10"/>
        <color indexed="43"/>
        <rFont val="Arial"/>
        <family val="2"/>
        <charset val="161"/>
      </rPr>
      <t xml:space="preserve">), δηλαδή πρέπει να συμπληρωθούν τα κελιά με το πορτοκαλί χρώμα, όπου υπάρχουν τέτοια, κατά τρόπο ανάλογο με τα ήδη συμπληρωμένα κελιά του πίνακα, όπως π.χ. είναι το </t>
    </r>
    <r>
      <rPr>
        <b/>
        <sz val="10"/>
        <color indexed="52"/>
        <rFont val="Arial"/>
        <family val="2"/>
        <charset val="161"/>
      </rPr>
      <t>D166</t>
    </r>
    <r>
      <rPr>
        <sz val="10"/>
        <color indexed="43"/>
        <rFont val="Arial"/>
        <family val="2"/>
        <charset val="161"/>
      </rPr>
      <t xml:space="preserve"> ή το </t>
    </r>
    <r>
      <rPr>
        <b/>
        <sz val="10"/>
        <color indexed="52"/>
        <rFont val="Arial"/>
        <family val="2"/>
        <charset val="161"/>
      </rPr>
      <t>H169.</t>
    </r>
    <r>
      <rPr>
        <sz val="10"/>
        <color indexed="43"/>
        <rFont val="Arial"/>
        <family val="2"/>
        <charset val="161"/>
      </rPr>
      <t xml:space="preserve"> Έτσι λοιπόν στο κελί </t>
    </r>
    <r>
      <rPr>
        <b/>
        <sz val="10"/>
        <color indexed="52"/>
        <rFont val="Arial"/>
        <family val="2"/>
        <charset val="161"/>
      </rPr>
      <t>H168</t>
    </r>
    <r>
      <rPr>
        <sz val="10"/>
        <color indexed="43"/>
        <rFont val="Arial"/>
        <family val="2"/>
        <charset val="161"/>
      </rPr>
      <t xml:space="preserve"> θα πρέπει να γραφεί </t>
    </r>
    <r>
      <rPr>
        <b/>
        <sz val="10"/>
        <color indexed="52"/>
        <rFont val="Arial"/>
        <family val="2"/>
        <charset val="161"/>
      </rPr>
      <t>"4,8mol".</t>
    </r>
    <r>
      <rPr>
        <sz val="10"/>
        <color indexed="43"/>
        <rFont val="Arial"/>
        <family val="2"/>
        <charset val="161"/>
      </rPr>
      <t xml:space="preserve">  </t>
    </r>
  </si>
  <si>
    <t xml:space="preserve">   ä</t>
  </si>
  <si>
    <r>
      <t>Εισάγουμε</t>
    </r>
    <r>
      <rPr>
        <sz val="10"/>
        <color indexed="43"/>
        <rFont val="Arial"/>
        <family val="2"/>
      </rPr>
      <t xml:space="preserve"> στο δοχείο επιπλέον ποσότητα </t>
    </r>
    <r>
      <rPr>
        <b/>
        <sz val="10"/>
        <color indexed="52"/>
        <rFont val="Arial"/>
        <family val="2"/>
        <charset val="161"/>
      </rPr>
      <t>HI</t>
    </r>
    <r>
      <rPr>
        <b/>
        <vertAlign val="subscript"/>
        <sz val="10"/>
        <color indexed="52"/>
        <rFont val="Arial"/>
        <family val="2"/>
        <charset val="161"/>
      </rPr>
      <t>(g)</t>
    </r>
    <r>
      <rPr>
        <b/>
        <sz val="10"/>
        <color indexed="52"/>
        <rFont val="Arial"/>
        <family val="2"/>
        <charset val="161"/>
      </rPr>
      <t>.</t>
    </r>
  </si>
  <si>
    <r>
      <t>[Γ]</t>
    </r>
    <r>
      <rPr>
        <b/>
        <vertAlign val="superscript"/>
        <sz val="14"/>
        <color indexed="50"/>
        <rFont val="Arial"/>
        <family val="2"/>
      </rPr>
      <t>γ</t>
    </r>
    <r>
      <rPr>
        <b/>
        <vertAlign val="subscript"/>
        <sz val="14"/>
        <color indexed="50"/>
        <rFont val="Arial"/>
        <family val="2"/>
        <charset val="161"/>
      </rPr>
      <t>ΧΙ·</t>
    </r>
    <r>
      <rPr>
        <b/>
        <sz val="14"/>
        <color indexed="50"/>
        <rFont val="Arial"/>
        <family val="2"/>
      </rPr>
      <t>[Δ]</t>
    </r>
    <r>
      <rPr>
        <b/>
        <vertAlign val="superscript"/>
        <sz val="14"/>
        <color indexed="50"/>
        <rFont val="Arial"/>
        <family val="2"/>
      </rPr>
      <t>δ</t>
    </r>
    <r>
      <rPr>
        <b/>
        <vertAlign val="subscript"/>
        <sz val="14"/>
        <color indexed="50"/>
        <rFont val="Arial"/>
        <family val="2"/>
        <charset val="161"/>
      </rPr>
      <t>ΧΙ</t>
    </r>
  </si>
  <si>
    <r>
      <t>[Α]</t>
    </r>
    <r>
      <rPr>
        <b/>
        <vertAlign val="superscript"/>
        <sz val="14"/>
        <color indexed="50"/>
        <rFont val="Arial"/>
        <family val="2"/>
      </rPr>
      <t>α</t>
    </r>
    <r>
      <rPr>
        <b/>
        <vertAlign val="subscript"/>
        <sz val="14"/>
        <color indexed="50"/>
        <rFont val="Arial"/>
        <family val="2"/>
        <charset val="161"/>
      </rPr>
      <t>ΧΙ</t>
    </r>
    <r>
      <rPr>
        <b/>
        <sz val="14"/>
        <color indexed="50"/>
        <rFont val="Arial"/>
        <family val="2"/>
      </rPr>
      <t>·[Β]</t>
    </r>
    <r>
      <rPr>
        <b/>
        <vertAlign val="superscript"/>
        <sz val="14"/>
        <color indexed="50"/>
        <rFont val="Arial"/>
        <family val="2"/>
      </rPr>
      <t>β</t>
    </r>
    <r>
      <rPr>
        <b/>
        <vertAlign val="subscript"/>
        <sz val="14"/>
        <color indexed="50"/>
        <rFont val="Arial"/>
        <family val="2"/>
        <charset val="161"/>
      </rPr>
      <t>ΧΙ</t>
    </r>
  </si>
  <si>
    <r>
      <t>Q</t>
    </r>
    <r>
      <rPr>
        <b/>
        <vertAlign val="subscript"/>
        <sz val="18"/>
        <color indexed="50"/>
        <rFont val="Arial"/>
        <family val="2"/>
      </rPr>
      <t>C(ΧΙ)</t>
    </r>
    <r>
      <rPr>
        <b/>
        <sz val="18"/>
        <color indexed="50"/>
        <rFont val="Arial"/>
        <family val="2"/>
      </rPr>
      <t>=K</t>
    </r>
    <r>
      <rPr>
        <b/>
        <vertAlign val="subscript"/>
        <sz val="18"/>
        <color indexed="50"/>
        <rFont val="Arial"/>
        <family val="2"/>
      </rPr>
      <t>C</t>
    </r>
  </si>
  <si>
    <r>
      <t xml:space="preserve">Για την τιμή της σταθερά </t>
    </r>
    <r>
      <rPr>
        <b/>
        <sz val="10"/>
        <color indexed="52"/>
        <rFont val="Arial"/>
        <family val="2"/>
        <charset val="161"/>
      </rPr>
      <t>K</t>
    </r>
    <r>
      <rPr>
        <b/>
        <vertAlign val="subscript"/>
        <sz val="10"/>
        <color indexed="52"/>
        <rFont val="Arial"/>
        <family val="2"/>
        <charset val="161"/>
      </rPr>
      <t>C</t>
    </r>
    <r>
      <rPr>
        <sz val="10"/>
        <color indexed="43"/>
        <rFont val="Arial"/>
        <family val="2"/>
        <charset val="161"/>
      </rPr>
      <t xml:space="preserve"> της παραπάνω αμφίδρομης αντίδρασης, στους </t>
    </r>
    <r>
      <rPr>
        <b/>
        <sz val="10"/>
        <color indexed="52"/>
        <rFont val="Arial"/>
        <family val="2"/>
        <charset val="161"/>
      </rPr>
      <t>θ°C,</t>
    </r>
    <r>
      <rPr>
        <sz val="10"/>
        <color indexed="43"/>
        <rFont val="Arial"/>
        <family val="2"/>
        <charset val="161"/>
      </rPr>
      <t xml:space="preserve"> ισχύει ότι </t>
    </r>
    <r>
      <rPr>
        <b/>
        <sz val="10"/>
        <color indexed="52"/>
        <rFont val="Arial"/>
        <family val="2"/>
        <charset val="161"/>
      </rPr>
      <t>K</t>
    </r>
    <r>
      <rPr>
        <b/>
        <vertAlign val="subscript"/>
        <sz val="10"/>
        <color indexed="52"/>
        <rFont val="Arial"/>
        <family val="2"/>
        <charset val="161"/>
      </rPr>
      <t>C</t>
    </r>
    <r>
      <rPr>
        <b/>
        <sz val="10"/>
        <color indexed="52"/>
        <rFont val="Arial"/>
        <family val="2"/>
        <charset val="161"/>
      </rPr>
      <t>=</t>
    </r>
    <r>
      <rPr>
        <b/>
        <sz val="12"/>
        <color indexed="52"/>
        <rFont val="Arial"/>
        <family val="2"/>
        <charset val="161"/>
      </rPr>
      <t>¼</t>
    </r>
    <r>
      <rPr>
        <b/>
        <sz val="10"/>
        <color indexed="52"/>
        <rFont val="Arial"/>
        <family val="2"/>
        <charset val="161"/>
      </rPr>
      <t>.</t>
    </r>
    <r>
      <rPr>
        <b/>
        <sz val="10"/>
        <color indexed="43"/>
        <rFont val="Arial"/>
        <family val="2"/>
      </rPr>
      <t xml:space="preserve"> </t>
    </r>
    <r>
      <rPr>
        <sz val="10"/>
        <color indexed="43"/>
        <rFont val="Arial"/>
        <family val="2"/>
        <charset val="161"/>
      </rPr>
      <t xml:space="preserve"> 
Δίνεται ακόμη για την αντίδραση αυτή, ότι είναι </t>
    </r>
    <r>
      <rPr>
        <b/>
        <sz val="10"/>
        <color indexed="52"/>
        <rFont val="Arial"/>
        <family val="2"/>
        <charset val="161"/>
      </rPr>
      <t xml:space="preserve">ΔΗ&gt;0 </t>
    </r>
    <r>
      <rPr>
        <sz val="10"/>
        <color rgb="FFFFFF99"/>
        <rFont val="Arial"/>
        <family val="2"/>
        <charset val="161"/>
      </rPr>
      <t xml:space="preserve">και ότι μέχρι να καταλήξει το σύστημα σε κατάσταση ισορροπίας, αντάλλαξε με το περιβάλλον ποσό θερμότητας ίσο με </t>
    </r>
    <r>
      <rPr>
        <b/>
        <sz val="10"/>
        <color rgb="FFFF9900"/>
        <rFont val="Arial"/>
        <family val="2"/>
        <charset val="161"/>
      </rPr>
      <t>4,2kJ.</t>
    </r>
    <r>
      <rPr>
        <sz val="10"/>
        <color indexed="52"/>
        <rFont val="Arial"/>
        <family val="2"/>
        <charset val="161"/>
      </rPr>
      <t xml:space="preserve"> </t>
    </r>
    <r>
      <rPr>
        <sz val="10"/>
        <color indexed="43"/>
        <rFont val="Arial"/>
        <family val="2"/>
        <charset val="161"/>
      </rPr>
      <t xml:space="preserve"> </t>
    </r>
  </si>
  <si>
    <t>ναι</t>
  </si>
  <si>
    <r>
      <t xml:space="preserve">Για τη συμπλήρωση των σειρών του πίνακα </t>
    </r>
    <r>
      <rPr>
        <b/>
        <sz val="10"/>
        <color indexed="52"/>
        <rFont val="Arial"/>
        <family val="2"/>
        <charset val="161"/>
      </rPr>
      <t>"αντέδρασαν",</t>
    </r>
    <r>
      <rPr>
        <b/>
        <sz val="10"/>
        <color indexed="43"/>
        <rFont val="Arial"/>
        <family val="2"/>
      </rPr>
      <t xml:space="preserve"> </t>
    </r>
    <r>
      <rPr>
        <b/>
        <sz val="10"/>
        <color indexed="52"/>
        <rFont val="Arial"/>
        <family val="2"/>
        <charset val="161"/>
      </rPr>
      <t>"πα-ράχθηκαν"</t>
    </r>
    <r>
      <rPr>
        <sz val="10"/>
        <color indexed="43"/>
        <rFont val="Arial"/>
        <family val="2"/>
        <charset val="161"/>
      </rPr>
      <t xml:space="preserve"> κλπ., οι άγνωστες ποσότητες </t>
    </r>
    <r>
      <rPr>
        <b/>
        <sz val="10"/>
        <color rgb="FFFF9900"/>
        <rFont val="Arial"/>
        <family val="2"/>
        <charset val="161"/>
      </rPr>
      <t>CO</t>
    </r>
    <r>
      <rPr>
        <b/>
        <vertAlign val="subscript"/>
        <sz val="10"/>
        <color rgb="FFFF9900"/>
        <rFont val="Arial"/>
        <family val="2"/>
        <charset val="161"/>
      </rPr>
      <t>2</t>
    </r>
    <r>
      <rPr>
        <sz val="10"/>
        <color indexed="43"/>
        <rFont val="Arial"/>
        <family val="2"/>
        <charset val="161"/>
      </rPr>
      <t xml:space="preserve"> και </t>
    </r>
    <r>
      <rPr>
        <b/>
        <sz val="10"/>
        <color rgb="FFFF9900"/>
        <rFont val="Arial"/>
        <family val="2"/>
        <charset val="161"/>
      </rPr>
      <t>CO</t>
    </r>
    <r>
      <rPr>
        <sz val="10"/>
        <color indexed="43"/>
        <rFont val="Arial"/>
        <family val="2"/>
        <charset val="161"/>
      </rPr>
      <t xml:space="preserve"> που αντέδρασαν ή παράχθηκαν, να γραφούν </t>
    </r>
    <r>
      <rPr>
        <b/>
        <sz val="10"/>
        <color rgb="FFFF9900"/>
        <rFont val="Arial"/>
        <family val="2"/>
        <charset val="161"/>
      </rPr>
      <t>"2xmol"</t>
    </r>
    <r>
      <rPr>
        <sz val="10"/>
        <color indexed="43"/>
        <rFont val="Arial"/>
        <family val="2"/>
        <charset val="161"/>
      </rPr>
      <t xml:space="preserve"> και </t>
    </r>
    <r>
      <rPr>
        <b/>
        <sz val="10"/>
        <color rgb="FFFF9900"/>
        <rFont val="Arial"/>
        <family val="2"/>
        <charset val="161"/>
      </rPr>
      <t>"xmol"</t>
    </r>
    <r>
      <rPr>
        <sz val="10"/>
        <color indexed="43"/>
        <rFont val="Arial"/>
        <family val="2"/>
        <charset val="161"/>
      </rPr>
      <t xml:space="preserve"> αντίστοιχα.</t>
    </r>
    <r>
      <rPr>
        <b/>
        <sz val="10"/>
        <color indexed="43"/>
        <rFont val="Arial"/>
        <family val="2"/>
      </rPr>
      <t xml:space="preserve"> </t>
    </r>
    <r>
      <rPr>
        <sz val="10"/>
        <color indexed="43"/>
        <rFont val="Arial"/>
        <family val="2"/>
      </rPr>
      <t xml:space="preserve">Να θεωρηθεί ακόμη ότι ο όγκος του στερεού άνθρακα </t>
    </r>
    <r>
      <rPr>
        <b/>
        <sz val="10"/>
        <color indexed="52"/>
        <rFont val="Arial"/>
        <family val="2"/>
        <charset val="161"/>
      </rPr>
      <t>C</t>
    </r>
    <r>
      <rPr>
        <b/>
        <vertAlign val="subscript"/>
        <sz val="10"/>
        <color indexed="52"/>
        <rFont val="Arial"/>
        <family val="2"/>
        <charset val="161"/>
      </rPr>
      <t>(s)</t>
    </r>
    <r>
      <rPr>
        <sz val="10"/>
        <color indexed="43"/>
        <rFont val="Arial"/>
        <family val="2"/>
      </rPr>
      <t xml:space="preserve"> είναι αμελητέος συγκρινόμενος με τον όγκο που καταλαμβάνει το μίγμα των δύο αερίων.</t>
    </r>
  </si>
  <si>
    <r>
      <t xml:space="preserve">Να γραφούν παρακάτω, στα κελιά </t>
    </r>
    <r>
      <rPr>
        <b/>
        <sz val="10"/>
        <color indexed="52"/>
        <rFont val="Arial"/>
        <family val="2"/>
        <charset val="161"/>
      </rPr>
      <t>F861</t>
    </r>
    <r>
      <rPr>
        <sz val="10"/>
        <color indexed="43"/>
        <rFont val="Arial"/>
        <family val="2"/>
      </rPr>
      <t xml:space="preserve"> έως </t>
    </r>
    <r>
      <rPr>
        <b/>
        <sz val="10"/>
        <color indexed="52"/>
        <rFont val="Arial"/>
        <family val="2"/>
        <charset val="161"/>
      </rPr>
      <t>F865,</t>
    </r>
    <r>
      <rPr>
        <sz val="10"/>
        <color indexed="43"/>
        <rFont val="Arial"/>
        <family val="2"/>
      </rPr>
      <t xml:space="preserve"> οι ποσότητες </t>
    </r>
    <r>
      <rPr>
        <b/>
        <sz val="10"/>
        <color indexed="52"/>
        <rFont val="Arial"/>
        <family val="2"/>
        <charset val="161"/>
      </rPr>
      <t>(σε mol)</t>
    </r>
    <r>
      <rPr>
        <sz val="10"/>
        <color indexed="43"/>
        <rFont val="Arial"/>
        <family val="2"/>
      </rPr>
      <t xml:space="preserve"> που θα περιέχονται στο δοχείο στην </t>
    </r>
    <r>
      <rPr>
        <b/>
        <sz val="10"/>
        <color indexed="52"/>
        <rFont val="Arial"/>
        <family val="2"/>
        <charset val="161"/>
      </rPr>
      <t>ΚΧΙ,</t>
    </r>
    <r>
      <rPr>
        <sz val="10"/>
        <color indexed="43"/>
        <rFont val="Arial"/>
        <family val="2"/>
      </rPr>
      <t xml:space="preserve"> από κάθε μια από τις αναγραφόμενες ουσίες,  </t>
    </r>
    <r>
      <rPr>
        <b/>
        <sz val="10"/>
        <color indexed="52"/>
        <rFont val="Arial"/>
        <family val="2"/>
        <charset val="161"/>
      </rPr>
      <t>συναρτήσει των x και y.</t>
    </r>
    <r>
      <rPr>
        <sz val="10"/>
        <color indexed="43"/>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</si>
</sst>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193" x14ac:knownFonts="1">
    <font>
      <sz val="10"/>
      <name val="Arial"/>
      <charset val="161"/>
    </font>
    <font>
      <sz val="10"/>
      <name val="Arial"/>
      <family val="2"/>
      <charset val="161"/>
    </font>
    <font>
      <u/>
      <sz val="10"/>
      <color indexed="12"/>
      <name val="Arial"/>
      <family val="2"/>
      <charset val="161"/>
    </font>
    <font>
      <sz val="8"/>
      <color indexed="81"/>
      <name val="Tahoma"/>
      <family val="2"/>
      <charset val="161"/>
    </font>
    <font>
      <b/>
      <sz val="8"/>
      <color indexed="81"/>
      <name val="Tahoma"/>
      <family val="2"/>
      <charset val="161"/>
    </font>
    <font>
      <b/>
      <sz val="10"/>
      <color indexed="10"/>
      <name val="Arial"/>
      <family val="2"/>
    </font>
    <font>
      <b/>
      <sz val="10"/>
      <color indexed="52"/>
      <name val="Arial"/>
      <family val="2"/>
    </font>
    <font>
      <sz val="10"/>
      <color indexed="43"/>
      <name val="Arial"/>
      <family val="2"/>
    </font>
    <font>
      <b/>
      <sz val="16"/>
      <color indexed="43"/>
      <name val="Arial"/>
      <family val="2"/>
    </font>
    <font>
      <sz val="10"/>
      <color indexed="43"/>
      <name val="Arial"/>
      <family val="2"/>
      <charset val="161"/>
    </font>
    <font>
      <b/>
      <sz val="10"/>
      <color indexed="43"/>
      <name val="Arial"/>
      <family val="2"/>
    </font>
    <font>
      <b/>
      <sz val="12"/>
      <color indexed="43"/>
      <name val="Arial"/>
      <family val="2"/>
    </font>
    <font>
      <sz val="12"/>
      <color indexed="43"/>
      <name val="Arial"/>
      <family val="2"/>
    </font>
    <font>
      <b/>
      <sz val="20"/>
      <color indexed="43"/>
      <name val="Wingdings"/>
      <charset val="2"/>
    </font>
    <font>
      <b/>
      <vertAlign val="subscript"/>
      <sz val="10"/>
      <color indexed="43"/>
      <name val="Arial"/>
      <family val="2"/>
    </font>
    <font>
      <b/>
      <sz val="11"/>
      <color indexed="43"/>
      <name val="Arial"/>
      <family val="2"/>
      <charset val="161"/>
    </font>
    <font>
      <b/>
      <vertAlign val="subscript"/>
      <sz val="11"/>
      <color indexed="43"/>
      <name val="Arial"/>
      <family val="2"/>
    </font>
    <font>
      <b/>
      <sz val="11"/>
      <color indexed="43"/>
      <name val="Wingdings 3"/>
      <family val="1"/>
      <charset val="2"/>
    </font>
    <font>
      <b/>
      <sz val="11"/>
      <color indexed="43"/>
      <name val="Arial"/>
      <family val="2"/>
    </font>
    <font>
      <sz val="16"/>
      <color indexed="43"/>
      <name val="Arial"/>
      <family val="2"/>
    </font>
    <font>
      <vertAlign val="subscript"/>
      <sz val="10"/>
      <color indexed="43"/>
      <name val="Arial"/>
      <family val="2"/>
    </font>
    <font>
      <vertAlign val="superscript"/>
      <sz val="10"/>
      <color indexed="43"/>
      <name val="Arial"/>
      <family val="2"/>
    </font>
    <font>
      <sz val="8"/>
      <color indexed="43"/>
      <name val="Symbol"/>
      <family val="1"/>
      <charset val="2"/>
    </font>
    <font>
      <sz val="10"/>
      <color indexed="43"/>
      <name val="Wingdings 3"/>
      <family val="1"/>
      <charset val="2"/>
    </font>
    <font>
      <vertAlign val="subscript"/>
      <sz val="8"/>
      <color indexed="43"/>
      <name val="Arial"/>
      <family val="2"/>
    </font>
    <font>
      <sz val="10"/>
      <color indexed="43"/>
      <name val="Symbol"/>
      <family val="1"/>
      <charset val="2"/>
    </font>
    <font>
      <sz val="11"/>
      <color indexed="43"/>
      <name val="Arial"/>
      <family val="2"/>
    </font>
    <font>
      <b/>
      <sz val="18"/>
      <color indexed="43"/>
      <name val="Arial"/>
      <family val="2"/>
    </font>
    <font>
      <sz val="8"/>
      <color indexed="43"/>
      <name val="Arial"/>
      <family val="2"/>
    </font>
    <font>
      <sz val="8"/>
      <color indexed="43"/>
      <name val="Wingdings 2"/>
      <family val="1"/>
      <charset val="2"/>
    </font>
    <font>
      <b/>
      <sz val="9"/>
      <color indexed="43"/>
      <name val="Arial"/>
      <family val="2"/>
    </font>
    <font>
      <sz val="9"/>
      <color indexed="43"/>
      <name val="Arial"/>
      <family val="2"/>
    </font>
    <font>
      <sz val="10"/>
      <color indexed="43"/>
      <name val="Wingdings 2"/>
      <family val="1"/>
      <charset val="2"/>
    </font>
    <font>
      <sz val="9"/>
      <color indexed="43"/>
      <name val="Arial"/>
      <family val="2"/>
      <charset val="161"/>
    </font>
    <font>
      <sz val="9"/>
      <color indexed="43"/>
      <name val="Wingdings 2"/>
      <family val="1"/>
      <charset val="2"/>
    </font>
    <font>
      <sz val="11"/>
      <color indexed="43"/>
      <name val="Wingdings 3"/>
      <family val="1"/>
      <charset val="2"/>
    </font>
    <font>
      <sz val="16"/>
      <color indexed="43"/>
      <name val="Arial"/>
      <family val="2"/>
      <charset val="161"/>
    </font>
    <font>
      <b/>
      <sz val="16"/>
      <color indexed="43"/>
      <name val="Wingdings"/>
      <charset val="2"/>
    </font>
    <font>
      <sz val="12"/>
      <color indexed="43"/>
      <name val="Comic Sans MS"/>
      <family val="4"/>
    </font>
    <font>
      <b/>
      <sz val="10"/>
      <color indexed="52"/>
      <name val="Arial"/>
      <family val="2"/>
      <charset val="161"/>
    </font>
    <font>
      <b/>
      <sz val="10"/>
      <color indexed="10"/>
      <name val="Arial"/>
      <family val="2"/>
      <charset val="161"/>
    </font>
    <font>
      <sz val="10"/>
      <color indexed="52"/>
      <name val="Arial"/>
      <family val="2"/>
      <charset val="161"/>
    </font>
    <font>
      <b/>
      <sz val="10"/>
      <color indexed="43"/>
      <name val="Arial"/>
      <family val="2"/>
      <charset val="161"/>
    </font>
    <font>
      <b/>
      <sz val="11"/>
      <color indexed="44"/>
      <name val="Arial"/>
      <family val="2"/>
      <charset val="161"/>
    </font>
    <font>
      <b/>
      <sz val="11"/>
      <color indexed="44"/>
      <name val="Arial"/>
      <family val="2"/>
    </font>
    <font>
      <b/>
      <sz val="11"/>
      <color indexed="10"/>
      <name val="Arial"/>
      <family val="2"/>
      <charset val="161"/>
    </font>
    <font>
      <b/>
      <sz val="11"/>
      <color indexed="10"/>
      <name val="Wingdings 3"/>
      <family val="1"/>
      <charset val="2"/>
    </font>
    <font>
      <b/>
      <sz val="11"/>
      <color indexed="52"/>
      <name val="Arial"/>
      <family val="2"/>
      <charset val="161"/>
    </font>
    <font>
      <b/>
      <sz val="11"/>
      <color indexed="43"/>
      <name val="Arial"/>
      <family val="2"/>
      <charset val="161"/>
    </font>
    <font>
      <b/>
      <vertAlign val="subscript"/>
      <sz val="11"/>
      <color indexed="43"/>
      <name val="Arial"/>
      <family val="2"/>
      <charset val="161"/>
    </font>
    <font>
      <b/>
      <vertAlign val="superscript"/>
      <sz val="11"/>
      <color indexed="52"/>
      <name val="Arial"/>
      <family val="2"/>
      <charset val="161"/>
    </font>
    <font>
      <b/>
      <vertAlign val="subscript"/>
      <sz val="11"/>
      <color indexed="52"/>
      <name val="Arial"/>
      <family val="2"/>
      <charset val="161"/>
    </font>
    <font>
      <b/>
      <sz val="10"/>
      <color indexed="51"/>
      <name val="Arial"/>
      <family val="2"/>
      <charset val="161"/>
    </font>
    <font>
      <b/>
      <sz val="12"/>
      <color indexed="8"/>
      <name val="Arial"/>
      <family val="2"/>
    </font>
    <font>
      <sz val="10"/>
      <color indexed="43"/>
      <name val="Arial"/>
      <family val="2"/>
      <charset val="161"/>
    </font>
    <font>
      <sz val="9"/>
      <color indexed="52"/>
      <name val="Arial"/>
      <family val="2"/>
    </font>
    <font>
      <b/>
      <sz val="11"/>
      <color indexed="10"/>
      <name val="Arial"/>
      <family val="2"/>
      <charset val="161"/>
    </font>
    <font>
      <b/>
      <sz val="11"/>
      <color indexed="8"/>
      <name val="Arial"/>
      <family val="2"/>
    </font>
    <font>
      <b/>
      <sz val="8"/>
      <color indexed="8"/>
      <name val="Tahoma"/>
      <family val="2"/>
      <charset val="161"/>
    </font>
    <font>
      <sz val="8"/>
      <color indexed="8"/>
      <name val="Tahoma"/>
      <family val="2"/>
      <charset val="161"/>
    </font>
    <font>
      <b/>
      <vertAlign val="subscript"/>
      <sz val="8"/>
      <color indexed="8"/>
      <name val="Tahoma"/>
      <family val="2"/>
      <charset val="161"/>
    </font>
    <font>
      <b/>
      <sz val="10"/>
      <color indexed="8"/>
      <name val="Arial"/>
      <family val="2"/>
    </font>
    <font>
      <b/>
      <sz val="12"/>
      <color indexed="53"/>
      <name val="Arial"/>
      <family val="2"/>
      <charset val="161"/>
    </font>
    <font>
      <sz val="16"/>
      <color indexed="53"/>
      <name val="Arial"/>
      <family val="2"/>
    </font>
    <font>
      <b/>
      <sz val="11"/>
      <color indexed="10"/>
      <name val="Arial"/>
      <family val="2"/>
    </font>
    <font>
      <b/>
      <sz val="10"/>
      <color indexed="9"/>
      <name val="Arial"/>
      <family val="2"/>
    </font>
    <font>
      <b/>
      <vertAlign val="subscript"/>
      <sz val="10"/>
      <color indexed="52"/>
      <name val="Arial"/>
      <family val="2"/>
      <charset val="161"/>
    </font>
    <font>
      <b/>
      <vertAlign val="subscript"/>
      <sz val="10"/>
      <color indexed="52"/>
      <name val="Arial"/>
      <family val="2"/>
    </font>
    <font>
      <sz val="10"/>
      <color indexed="10"/>
      <name val="Wingdings 2"/>
      <family val="1"/>
      <charset val="2"/>
    </font>
    <font>
      <b/>
      <sz val="11"/>
      <color indexed="53"/>
      <name val="Arial"/>
      <family val="2"/>
      <charset val="161"/>
    </font>
    <font>
      <sz val="11"/>
      <color indexed="10"/>
      <name val="Wingdings"/>
      <charset val="2"/>
    </font>
    <font>
      <sz val="10"/>
      <color indexed="53"/>
      <name val="Arial"/>
      <family val="2"/>
    </font>
    <font>
      <b/>
      <sz val="16"/>
      <color indexed="8"/>
      <name val="Arial"/>
      <family val="2"/>
      <charset val="161"/>
    </font>
    <font>
      <b/>
      <sz val="11"/>
      <color indexed="53"/>
      <name val="Arial"/>
      <family val="2"/>
    </font>
    <font>
      <sz val="10"/>
      <color indexed="8"/>
      <name val="Arial"/>
      <family val="2"/>
    </font>
    <font>
      <b/>
      <sz val="8"/>
      <color indexed="43"/>
      <name val="Arial"/>
      <family val="2"/>
      <charset val="161"/>
    </font>
    <font>
      <sz val="10"/>
      <color indexed="8"/>
      <name val="Arial"/>
      <family val="2"/>
      <charset val="161"/>
    </font>
    <font>
      <b/>
      <sz val="9"/>
      <color indexed="52"/>
      <name val="Arial"/>
      <family val="2"/>
      <charset val="161"/>
    </font>
    <font>
      <sz val="9"/>
      <color indexed="8"/>
      <name val="Arial"/>
      <family val="2"/>
    </font>
    <font>
      <sz val="8"/>
      <color indexed="8"/>
      <name val="Arial"/>
      <family val="2"/>
    </font>
    <font>
      <sz val="10"/>
      <color indexed="52"/>
      <name val="Arial"/>
      <family val="2"/>
    </font>
    <font>
      <sz val="12"/>
      <color indexed="10"/>
      <name val="Wingdings 2"/>
      <family val="1"/>
      <charset val="2"/>
    </font>
    <font>
      <b/>
      <vertAlign val="subscript"/>
      <sz val="10"/>
      <color indexed="43"/>
      <name val="Arial"/>
      <family val="2"/>
      <charset val="161"/>
    </font>
    <font>
      <b/>
      <sz val="16"/>
      <color indexed="53"/>
      <name val="Arial"/>
      <family val="2"/>
      <charset val="161"/>
    </font>
    <font>
      <sz val="8"/>
      <color indexed="43"/>
      <name val="Arial"/>
      <family val="2"/>
      <charset val="161"/>
    </font>
    <font>
      <vertAlign val="superscript"/>
      <sz val="8"/>
      <color indexed="8"/>
      <name val="Tahoma"/>
      <family val="2"/>
      <charset val="161"/>
    </font>
    <font>
      <sz val="10"/>
      <color indexed="52"/>
      <name val="Arial"/>
      <family val="2"/>
      <charset val="161"/>
    </font>
    <font>
      <b/>
      <vertAlign val="subscript"/>
      <sz val="10"/>
      <color indexed="10"/>
      <name val="Arial"/>
      <family val="2"/>
      <charset val="161"/>
    </font>
    <font>
      <b/>
      <sz val="10"/>
      <color indexed="52"/>
      <name val="Arial"/>
      <family val="2"/>
      <charset val="161"/>
    </font>
    <font>
      <b/>
      <sz val="9"/>
      <color indexed="8"/>
      <name val="Arial"/>
      <family val="2"/>
    </font>
    <font>
      <b/>
      <sz val="12"/>
      <color indexed="52"/>
      <name val="Arial"/>
      <family val="2"/>
      <charset val="161"/>
    </font>
    <font>
      <sz val="11"/>
      <color indexed="10"/>
      <name val="Wingdings 3"/>
      <family val="1"/>
      <charset val="2"/>
    </font>
    <font>
      <b/>
      <sz val="10"/>
      <color indexed="53"/>
      <name val="Arial"/>
      <family val="2"/>
    </font>
    <font>
      <b/>
      <vertAlign val="subscript"/>
      <sz val="10"/>
      <color indexed="53"/>
      <name val="Arial"/>
      <family val="2"/>
    </font>
    <font>
      <b/>
      <sz val="12"/>
      <color indexed="52"/>
      <name val="Arial"/>
      <family val="2"/>
    </font>
    <font>
      <b/>
      <vertAlign val="superscript"/>
      <sz val="9"/>
      <color indexed="8"/>
      <name val="Tahoma"/>
      <family val="2"/>
      <charset val="161"/>
    </font>
    <font>
      <b/>
      <sz val="11"/>
      <color indexed="41"/>
      <name val="Arial"/>
      <family val="2"/>
      <charset val="161"/>
    </font>
    <font>
      <sz val="10"/>
      <color indexed="50"/>
      <name val="Arial"/>
      <family val="2"/>
      <charset val="161"/>
    </font>
    <font>
      <b/>
      <sz val="24"/>
      <color indexed="10"/>
      <name val="Arial"/>
      <family val="2"/>
    </font>
    <font>
      <sz val="10"/>
      <color indexed="51"/>
      <name val="Arial"/>
      <family val="2"/>
      <charset val="161"/>
    </font>
    <font>
      <b/>
      <sz val="11"/>
      <color indexed="41"/>
      <name val="Arial"/>
      <family val="2"/>
    </font>
    <font>
      <sz val="10"/>
      <color indexed="50"/>
      <name val="Arial"/>
      <family val="2"/>
    </font>
    <font>
      <sz val="10"/>
      <color indexed="51"/>
      <name val="Arial"/>
      <family val="2"/>
    </font>
    <font>
      <b/>
      <sz val="11"/>
      <color indexed="52"/>
      <name val="Arial"/>
      <family val="2"/>
    </font>
    <font>
      <b/>
      <sz val="11"/>
      <color indexed="48"/>
      <name val="Arial"/>
      <family val="2"/>
      <charset val="161"/>
    </font>
    <font>
      <sz val="16"/>
      <color indexed="41"/>
      <name val="Arial"/>
      <family val="2"/>
    </font>
    <font>
      <vertAlign val="subscript"/>
      <sz val="16"/>
      <color indexed="41"/>
      <name val="Arial"/>
      <family val="2"/>
    </font>
    <font>
      <b/>
      <sz val="16"/>
      <color indexed="41"/>
      <name val="Arial"/>
      <family val="2"/>
    </font>
    <font>
      <b/>
      <vertAlign val="subscript"/>
      <sz val="16"/>
      <color indexed="41"/>
      <name val="Arial"/>
      <family val="2"/>
    </font>
    <font>
      <sz val="16"/>
      <color indexed="10"/>
      <name val="Arial"/>
      <family val="2"/>
    </font>
    <font>
      <sz val="16"/>
      <color indexed="52"/>
      <name val="Arial"/>
      <family val="2"/>
      <charset val="161"/>
    </font>
    <font>
      <b/>
      <sz val="10"/>
      <color indexed="41"/>
      <name val="Arial"/>
      <family val="2"/>
    </font>
    <font>
      <b/>
      <vertAlign val="subscript"/>
      <sz val="10"/>
      <color indexed="41"/>
      <name val="Arial"/>
      <family val="2"/>
    </font>
    <font>
      <b/>
      <sz val="16"/>
      <color indexed="44"/>
      <name val="Arial"/>
      <family val="2"/>
    </font>
    <font>
      <b/>
      <sz val="16"/>
      <color indexed="10"/>
      <name val="Arial"/>
      <family val="2"/>
    </font>
    <font>
      <b/>
      <sz val="10"/>
      <color indexed="53"/>
      <name val="Arial"/>
      <family val="2"/>
      <charset val="161"/>
    </font>
    <font>
      <b/>
      <sz val="16"/>
      <color indexed="53"/>
      <name val="Arial"/>
      <family val="2"/>
    </font>
    <font>
      <b/>
      <vertAlign val="subscript"/>
      <sz val="16"/>
      <color indexed="53"/>
      <name val="Arial"/>
      <family val="2"/>
    </font>
    <font>
      <b/>
      <sz val="16"/>
      <color indexed="53"/>
      <name val="Symbol"/>
      <family val="1"/>
      <charset val="2"/>
    </font>
    <font>
      <b/>
      <sz val="16"/>
      <color indexed="50"/>
      <name val="Symbol"/>
      <family val="1"/>
      <charset val="2"/>
    </font>
    <font>
      <b/>
      <sz val="14"/>
      <color indexed="52"/>
      <name val="Arial"/>
      <family val="2"/>
    </font>
    <font>
      <b/>
      <vertAlign val="subscript"/>
      <sz val="14"/>
      <color indexed="52"/>
      <name val="Arial"/>
      <family val="2"/>
    </font>
    <font>
      <b/>
      <vertAlign val="superscript"/>
      <sz val="14"/>
      <color indexed="52"/>
      <name val="Arial"/>
      <family val="2"/>
    </font>
    <font>
      <sz val="14"/>
      <color indexed="52"/>
      <name val="Arial"/>
      <family val="2"/>
    </font>
    <font>
      <sz val="14"/>
      <color indexed="50"/>
      <name val="Arial"/>
      <family val="2"/>
      <charset val="161"/>
    </font>
    <font>
      <vertAlign val="subscript"/>
      <sz val="10"/>
      <color indexed="52"/>
      <name val="Arial"/>
      <family val="2"/>
      <charset val="161"/>
    </font>
    <font>
      <b/>
      <sz val="14"/>
      <color indexed="52"/>
      <name val="Arial"/>
      <family val="2"/>
      <charset val="161"/>
    </font>
    <font>
      <b/>
      <sz val="14"/>
      <color indexed="50"/>
      <name val="Symbol"/>
      <family val="1"/>
      <charset val="2"/>
    </font>
    <font>
      <b/>
      <sz val="14"/>
      <color indexed="50"/>
      <name val="Arial"/>
      <family val="2"/>
    </font>
    <font>
      <b/>
      <vertAlign val="superscript"/>
      <sz val="14"/>
      <color indexed="50"/>
      <name val="Arial"/>
      <family val="2"/>
    </font>
    <font>
      <b/>
      <vertAlign val="subscript"/>
      <sz val="14"/>
      <color indexed="50"/>
      <name val="Arial"/>
      <family val="2"/>
    </font>
    <font>
      <b/>
      <vertAlign val="subscript"/>
      <sz val="10"/>
      <color indexed="53"/>
      <name val="Arial"/>
      <family val="2"/>
      <charset val="161"/>
    </font>
    <font>
      <b/>
      <sz val="18"/>
      <color indexed="50"/>
      <name val="Arial"/>
      <family val="2"/>
    </font>
    <font>
      <b/>
      <vertAlign val="subscript"/>
      <sz val="18"/>
      <color indexed="50"/>
      <name val="Arial"/>
      <family val="2"/>
    </font>
    <font>
      <b/>
      <sz val="18"/>
      <color indexed="52"/>
      <name val="Arial"/>
      <family val="2"/>
    </font>
    <font>
      <b/>
      <sz val="18"/>
      <color indexed="50"/>
      <name val="Symbol"/>
      <family val="1"/>
      <charset val="2"/>
    </font>
    <font>
      <b/>
      <vertAlign val="subscript"/>
      <sz val="18"/>
      <color indexed="52"/>
      <name val="Arial"/>
      <family val="2"/>
      <charset val="161"/>
    </font>
    <font>
      <b/>
      <vertAlign val="subscript"/>
      <sz val="18"/>
      <color indexed="52"/>
      <name val="Arial"/>
      <family val="2"/>
    </font>
    <font>
      <b/>
      <vertAlign val="subscript"/>
      <sz val="12"/>
      <color indexed="52"/>
      <name val="Arial"/>
      <family val="2"/>
    </font>
    <font>
      <b/>
      <vertAlign val="superscript"/>
      <sz val="12"/>
      <color indexed="52"/>
      <name val="Arial"/>
      <family val="2"/>
    </font>
    <font>
      <b/>
      <sz val="12"/>
      <color indexed="50"/>
      <name val="Symbol"/>
      <family val="1"/>
      <charset val="2"/>
    </font>
    <font>
      <b/>
      <sz val="18"/>
      <color indexed="52"/>
      <name val="Arial"/>
      <family val="2"/>
      <charset val="161"/>
    </font>
    <font>
      <b/>
      <sz val="18"/>
      <color indexed="41"/>
      <name val="Arial"/>
      <family val="2"/>
    </font>
    <font>
      <b/>
      <vertAlign val="subscript"/>
      <sz val="18"/>
      <color indexed="41"/>
      <name val="Arial"/>
      <family val="2"/>
    </font>
    <font>
      <b/>
      <sz val="18"/>
      <color indexed="10"/>
      <name val="Arial"/>
      <family val="2"/>
      <charset val="161"/>
    </font>
    <font>
      <b/>
      <sz val="18"/>
      <color indexed="10"/>
      <name val="Wingdings 3"/>
      <family val="1"/>
      <charset val="2"/>
    </font>
    <font>
      <sz val="12"/>
      <color indexed="11"/>
      <name val="Wingdings 2"/>
      <family val="1"/>
      <charset val="2"/>
    </font>
    <font>
      <sz val="12"/>
      <color indexed="13"/>
      <name val="Wingdings 2"/>
      <family val="1"/>
      <charset val="2"/>
    </font>
    <font>
      <sz val="16"/>
      <color indexed="13"/>
      <name val="Wingdings 2"/>
      <family val="1"/>
      <charset val="2"/>
    </font>
    <font>
      <b/>
      <sz val="18"/>
      <color indexed="53"/>
      <name val="Arial"/>
      <family val="2"/>
    </font>
    <font>
      <b/>
      <vertAlign val="subscript"/>
      <sz val="18"/>
      <color indexed="53"/>
      <name val="Arial"/>
      <family val="2"/>
    </font>
    <font>
      <b/>
      <sz val="12"/>
      <color indexed="48"/>
      <name val="Arial"/>
      <family val="2"/>
    </font>
    <font>
      <b/>
      <vertAlign val="subscript"/>
      <sz val="10"/>
      <color indexed="51"/>
      <name val="Arial"/>
      <family val="2"/>
      <charset val="161"/>
    </font>
    <font>
      <b/>
      <sz val="10"/>
      <color indexed="50"/>
      <name val="Arial"/>
      <family val="2"/>
      <charset val="161"/>
    </font>
    <font>
      <b/>
      <vertAlign val="subscript"/>
      <sz val="10"/>
      <color indexed="50"/>
      <name val="Arial"/>
      <family val="2"/>
      <charset val="161"/>
    </font>
    <font>
      <b/>
      <sz val="16"/>
      <color indexed="10"/>
      <name val="Arial"/>
      <family val="2"/>
      <charset val="161"/>
    </font>
    <font>
      <b/>
      <sz val="16"/>
      <color indexed="10"/>
      <name val="Wingdings 3"/>
      <family val="1"/>
      <charset val="2"/>
    </font>
    <font>
      <b/>
      <sz val="12"/>
      <color indexed="10"/>
      <name val="Arial"/>
      <family val="2"/>
      <charset val="161"/>
    </font>
    <font>
      <b/>
      <sz val="16"/>
      <color indexed="10"/>
      <name val="Symbol"/>
      <family val="1"/>
      <charset val="2"/>
    </font>
    <font>
      <b/>
      <sz val="10"/>
      <color indexed="44"/>
      <name val="Arial"/>
      <family val="2"/>
      <charset val="161"/>
    </font>
    <font>
      <b/>
      <vertAlign val="subscript"/>
      <sz val="10"/>
      <color indexed="44"/>
      <name val="Arial"/>
      <family val="2"/>
      <charset val="161"/>
    </font>
    <font>
      <sz val="10"/>
      <color indexed="44"/>
      <name val="Arial"/>
      <family val="2"/>
      <charset val="161"/>
    </font>
    <font>
      <sz val="16"/>
      <color indexed="10"/>
      <name val="Wingdings 3"/>
      <family val="1"/>
      <charset val="2"/>
    </font>
    <font>
      <b/>
      <sz val="10"/>
      <color indexed="50"/>
      <name val="Arial"/>
      <family val="2"/>
    </font>
    <font>
      <vertAlign val="subscript"/>
      <sz val="10"/>
      <color indexed="52"/>
      <name val="Arial"/>
      <family val="2"/>
    </font>
    <font>
      <sz val="10"/>
      <color indexed="8"/>
      <name val="Arial"/>
      <family val="2"/>
      <charset val="161"/>
    </font>
    <font>
      <sz val="10"/>
      <color indexed="16"/>
      <name val="Arial"/>
      <family val="2"/>
      <charset val="161"/>
    </font>
    <font>
      <b/>
      <sz val="11"/>
      <color indexed="53"/>
      <name val="Arial"/>
      <family val="2"/>
      <charset val="161"/>
    </font>
    <font>
      <sz val="8"/>
      <color indexed="8"/>
      <name val="Arial"/>
      <family val="2"/>
      <charset val="161"/>
    </font>
    <font>
      <b/>
      <sz val="12"/>
      <color indexed="8"/>
      <name val="Arial"/>
      <family val="2"/>
      <charset val="161"/>
    </font>
    <font>
      <b/>
      <sz val="11"/>
      <color indexed="8"/>
      <name val="Arial"/>
      <family val="2"/>
      <charset val="161"/>
    </font>
    <font>
      <sz val="10"/>
      <color indexed="16"/>
      <name val="Arial"/>
      <family val="2"/>
    </font>
    <font>
      <b/>
      <sz val="10"/>
      <color indexed="16"/>
      <name val="Arial"/>
      <family val="2"/>
      <charset val="161"/>
    </font>
    <font>
      <b/>
      <sz val="18"/>
      <color indexed="53"/>
      <name val="Arial"/>
      <family val="2"/>
      <charset val="161"/>
    </font>
    <font>
      <sz val="10"/>
      <color indexed="53"/>
      <name val="Arial"/>
      <family val="2"/>
      <charset val="161"/>
    </font>
    <font>
      <sz val="8"/>
      <color indexed="16"/>
      <name val="Arial"/>
      <family val="2"/>
    </font>
    <font>
      <sz val="9"/>
      <color indexed="16"/>
      <name val="Arial"/>
      <family val="2"/>
    </font>
    <font>
      <b/>
      <sz val="10"/>
      <color indexed="16"/>
      <name val="Arial"/>
      <family val="2"/>
    </font>
    <font>
      <sz val="8"/>
      <color indexed="50"/>
      <name val="Arial"/>
      <family val="2"/>
    </font>
    <font>
      <sz val="8"/>
      <color indexed="53"/>
      <name val="Arial"/>
      <family val="2"/>
    </font>
    <font>
      <b/>
      <sz val="9"/>
      <color indexed="16"/>
      <name val="Arial"/>
      <family val="2"/>
    </font>
    <font>
      <sz val="9"/>
      <color indexed="50"/>
      <name val="Arial"/>
      <family val="2"/>
    </font>
    <font>
      <u/>
      <sz val="10"/>
      <color indexed="43"/>
      <name val="Arial"/>
      <family val="2"/>
      <charset val="161"/>
    </font>
    <font>
      <sz val="16"/>
      <color rgb="FF00FF00"/>
      <name val="Wingdings 2"/>
      <family val="1"/>
      <charset val="2"/>
    </font>
    <font>
      <sz val="10"/>
      <color rgb="FFFFFF99"/>
      <name val="Arial"/>
      <family val="2"/>
      <charset val="161"/>
    </font>
    <font>
      <b/>
      <sz val="10"/>
      <color rgb="FFFF9900"/>
      <name val="Arial"/>
      <family val="2"/>
      <charset val="161"/>
    </font>
    <font>
      <sz val="10"/>
      <color theme="1"/>
      <name val="Arial"/>
      <family val="2"/>
      <charset val="161"/>
    </font>
    <font>
      <sz val="10"/>
      <color rgb="FFFF0000"/>
      <name val="Arial"/>
      <family val="2"/>
      <charset val="161"/>
    </font>
    <font>
      <b/>
      <vertAlign val="subscript"/>
      <sz val="14"/>
      <color indexed="50"/>
      <name val="Arial"/>
      <family val="2"/>
      <charset val="161"/>
    </font>
    <font>
      <sz val="10"/>
      <color rgb="FFFF9900"/>
      <name val="Arial"/>
      <family val="2"/>
      <charset val="161"/>
    </font>
    <font>
      <sz val="10"/>
      <color theme="1"/>
      <name val="Arial"/>
      <family val="2"/>
    </font>
    <font>
      <b/>
      <vertAlign val="subscript"/>
      <sz val="10"/>
      <color rgb="FFFF9900"/>
      <name val="Arial"/>
      <family val="2"/>
      <charset val="161"/>
    </font>
    <font>
      <sz val="10"/>
      <color rgb="FFFF9900"/>
      <name val="Arial"/>
      <family val="2"/>
    </font>
  </fonts>
  <fills count="11">
    <fill>
      <patternFill patternType="none"/>
    </fill>
    <fill>
      <patternFill patternType="gray125"/>
    </fill>
    <fill>
      <patternFill patternType="solid">
        <fgColor indexed="8"/>
        <bgColor indexed="64"/>
      </patternFill>
    </fill>
    <fill>
      <patternFill patternType="solid">
        <fgColor indexed="16"/>
        <bgColor indexed="64"/>
      </patternFill>
    </fill>
    <fill>
      <patternFill patternType="solid">
        <fgColor indexed="53"/>
        <bgColor indexed="64"/>
      </patternFill>
    </fill>
    <fill>
      <patternFill patternType="solid">
        <fgColor indexed="48"/>
        <bgColor indexed="64"/>
      </patternFill>
    </fill>
    <fill>
      <patternFill patternType="solid">
        <fgColor indexed="58"/>
        <bgColor indexed="64"/>
      </patternFill>
    </fill>
    <fill>
      <patternFill patternType="solid">
        <fgColor indexed="52"/>
        <bgColor indexed="64"/>
      </patternFill>
    </fill>
    <fill>
      <patternFill patternType="solid">
        <fgColor indexed="63"/>
        <bgColor indexed="64"/>
      </patternFill>
    </fill>
    <fill>
      <patternFill patternType="solid">
        <fgColor indexed="59"/>
        <bgColor indexed="64"/>
      </patternFill>
    </fill>
    <fill>
      <patternFill patternType="solid">
        <fgColor indexed="19"/>
        <bgColor indexed="64"/>
      </patternFill>
    </fill>
  </fills>
  <borders count="83">
    <border>
      <left/>
      <right/>
      <top/>
      <bottom/>
      <diagonal/>
    </border>
    <border>
      <left/>
      <right style="thin">
        <color indexed="51"/>
      </right>
      <top/>
      <bottom/>
      <diagonal/>
    </border>
    <border>
      <left/>
      <right/>
      <top/>
      <bottom style="thin">
        <color indexed="53"/>
      </bottom>
      <diagonal/>
    </border>
    <border>
      <left style="thin">
        <color indexed="53"/>
      </left>
      <right/>
      <top/>
      <bottom/>
      <diagonal/>
    </border>
    <border>
      <left style="thin">
        <color indexed="51"/>
      </left>
      <right/>
      <top style="thin">
        <color indexed="51"/>
      </top>
      <bottom style="thin">
        <color indexed="51"/>
      </bottom>
      <diagonal/>
    </border>
    <border>
      <left/>
      <right/>
      <top style="thin">
        <color indexed="53"/>
      </top>
      <bottom style="thin">
        <color indexed="53"/>
      </bottom>
      <diagonal/>
    </border>
    <border>
      <left/>
      <right/>
      <top/>
      <bottom style="thin">
        <color indexed="64"/>
      </bottom>
      <diagonal/>
    </border>
    <border>
      <left style="thin">
        <color indexed="8"/>
      </left>
      <right/>
      <top style="thin">
        <color indexed="8"/>
      </top>
      <bottom style="thin">
        <color indexed="8"/>
      </bottom>
      <diagonal/>
    </border>
    <border>
      <left/>
      <right/>
      <top style="thin">
        <color indexed="51"/>
      </top>
      <bottom style="thin">
        <color indexed="51"/>
      </bottom>
      <diagonal/>
    </border>
    <border>
      <left/>
      <right style="thin">
        <color indexed="51"/>
      </right>
      <top style="thin">
        <color indexed="51"/>
      </top>
      <bottom style="thin">
        <color indexed="51"/>
      </bottom>
      <diagonal/>
    </border>
    <border>
      <left style="thin">
        <color indexed="51"/>
      </left>
      <right style="thin">
        <color indexed="53"/>
      </right>
      <top/>
      <bottom/>
      <diagonal/>
    </border>
    <border>
      <left style="thin">
        <color indexed="43"/>
      </left>
      <right style="thin">
        <color indexed="43"/>
      </right>
      <top style="thin">
        <color indexed="43"/>
      </top>
      <bottom style="thin">
        <color indexed="43"/>
      </bottom>
      <diagonal/>
    </border>
    <border>
      <left/>
      <right style="thin">
        <color indexed="53"/>
      </right>
      <top/>
      <bottom/>
      <diagonal/>
    </border>
    <border>
      <left style="double">
        <color indexed="43"/>
      </left>
      <right style="double">
        <color indexed="43"/>
      </right>
      <top style="double">
        <color indexed="43"/>
      </top>
      <bottom style="double">
        <color indexed="43"/>
      </bottom>
      <diagonal/>
    </border>
    <border>
      <left style="double">
        <color indexed="43"/>
      </left>
      <right/>
      <top style="double">
        <color indexed="43"/>
      </top>
      <bottom style="double">
        <color indexed="43"/>
      </bottom>
      <diagonal/>
    </border>
    <border>
      <left/>
      <right/>
      <top/>
      <bottom style="medium">
        <color indexed="52"/>
      </bottom>
      <diagonal/>
    </border>
    <border>
      <left/>
      <right/>
      <top/>
      <bottom style="double">
        <color indexed="43"/>
      </bottom>
      <diagonal/>
    </border>
    <border>
      <left/>
      <right/>
      <top style="double">
        <color indexed="43"/>
      </top>
      <bottom style="double">
        <color indexed="43"/>
      </bottom>
      <diagonal/>
    </border>
    <border>
      <left/>
      <right/>
      <top style="thin">
        <color indexed="8"/>
      </top>
      <bottom style="thin">
        <color indexed="8"/>
      </bottom>
      <diagonal/>
    </border>
    <border>
      <left/>
      <right/>
      <top style="medium">
        <color indexed="52"/>
      </top>
      <bottom style="medium">
        <color indexed="52"/>
      </bottom>
      <diagonal/>
    </border>
    <border>
      <left/>
      <right/>
      <top style="thin">
        <color indexed="64"/>
      </top>
      <bottom style="double">
        <color indexed="43"/>
      </bottom>
      <diagonal/>
    </border>
    <border>
      <left style="thin">
        <color indexed="51"/>
      </left>
      <right/>
      <top/>
      <bottom/>
      <diagonal/>
    </border>
    <border>
      <left style="double">
        <color indexed="43"/>
      </left>
      <right/>
      <top/>
      <bottom/>
      <diagonal/>
    </border>
    <border>
      <left style="double">
        <color indexed="43"/>
      </left>
      <right/>
      <top/>
      <bottom style="double">
        <color indexed="43"/>
      </bottom>
      <diagonal/>
    </border>
    <border>
      <left/>
      <right style="thin">
        <color indexed="64"/>
      </right>
      <top/>
      <bottom/>
      <diagonal/>
    </border>
    <border>
      <left style="double">
        <color indexed="43"/>
      </left>
      <right/>
      <top style="double">
        <color indexed="43"/>
      </top>
      <bottom/>
      <diagonal/>
    </border>
    <border>
      <left style="thin">
        <color indexed="51"/>
      </left>
      <right/>
      <top style="thin">
        <color indexed="51"/>
      </top>
      <bottom/>
      <diagonal/>
    </border>
    <border>
      <left/>
      <right/>
      <top style="thin">
        <color indexed="51"/>
      </top>
      <bottom/>
      <diagonal/>
    </border>
    <border>
      <left style="thin">
        <color indexed="51"/>
      </left>
      <right/>
      <top/>
      <bottom style="thin">
        <color indexed="51"/>
      </bottom>
      <diagonal/>
    </border>
    <border>
      <left/>
      <right/>
      <top/>
      <bottom style="thin">
        <color indexed="51"/>
      </bottom>
      <diagonal/>
    </border>
    <border>
      <left/>
      <right/>
      <top style="double">
        <color indexed="43"/>
      </top>
      <bottom/>
      <diagonal/>
    </border>
    <border>
      <left style="thin">
        <color indexed="52"/>
      </left>
      <right/>
      <top/>
      <bottom/>
      <diagonal/>
    </border>
    <border>
      <left style="thin">
        <color indexed="53"/>
      </left>
      <right/>
      <top style="medium">
        <color indexed="5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53"/>
      </left>
      <right/>
      <top/>
      <bottom style="medium">
        <color indexed="53"/>
      </bottom>
      <diagonal/>
    </border>
    <border>
      <left/>
      <right/>
      <top style="thin">
        <color indexed="53"/>
      </top>
      <bottom/>
      <diagonal/>
    </border>
    <border>
      <left/>
      <right style="thin">
        <color indexed="53"/>
      </right>
      <top style="thin">
        <color indexed="53"/>
      </top>
      <bottom style="thin">
        <color indexed="53"/>
      </bottom>
      <diagonal/>
    </border>
    <border>
      <left style="medium">
        <color indexed="43"/>
      </left>
      <right style="medium">
        <color indexed="43"/>
      </right>
      <top/>
      <bottom style="medium">
        <color indexed="43"/>
      </bottom>
      <diagonal/>
    </border>
    <border>
      <left style="thin">
        <color indexed="43"/>
      </left>
      <right/>
      <top style="thin">
        <color indexed="43"/>
      </top>
      <bottom style="thin">
        <color indexed="43"/>
      </bottom>
      <diagonal/>
    </border>
    <border>
      <left style="medium">
        <color indexed="43"/>
      </left>
      <right style="medium">
        <color indexed="43"/>
      </right>
      <top style="medium">
        <color indexed="43"/>
      </top>
      <bottom/>
      <diagonal/>
    </border>
    <border>
      <left style="thin">
        <color indexed="52"/>
      </left>
      <right style="medium">
        <color indexed="53"/>
      </right>
      <top style="medium">
        <color indexed="53"/>
      </top>
      <bottom/>
      <diagonal/>
    </border>
    <border>
      <left style="thin">
        <color indexed="52"/>
      </left>
      <right style="medium">
        <color indexed="53"/>
      </right>
      <top/>
      <bottom style="medium">
        <color indexed="53"/>
      </bottom>
      <diagonal/>
    </border>
    <border>
      <left style="thin">
        <color indexed="53"/>
      </left>
      <right style="medium">
        <color indexed="53"/>
      </right>
      <top style="medium">
        <color indexed="53"/>
      </top>
      <bottom/>
      <diagonal/>
    </border>
    <border>
      <left style="thin">
        <color indexed="53"/>
      </left>
      <right style="medium">
        <color indexed="53"/>
      </right>
      <top/>
      <bottom style="medium">
        <color indexed="53"/>
      </bottom>
      <diagonal/>
    </border>
    <border>
      <left style="medium">
        <color indexed="53"/>
      </left>
      <right/>
      <top style="medium">
        <color indexed="53"/>
      </top>
      <bottom style="medium">
        <color indexed="53"/>
      </bottom>
      <diagonal/>
    </border>
    <border>
      <left/>
      <right style="medium">
        <color indexed="53"/>
      </right>
      <top style="medium">
        <color indexed="53"/>
      </top>
      <bottom style="medium">
        <color indexed="53"/>
      </bottom>
      <diagonal/>
    </border>
    <border>
      <left/>
      <right style="double">
        <color indexed="43"/>
      </right>
      <top style="double">
        <color indexed="43"/>
      </top>
      <bottom style="double">
        <color indexed="43"/>
      </bottom>
      <diagonal/>
    </border>
    <border>
      <left style="medium">
        <color indexed="53"/>
      </left>
      <right style="medium">
        <color indexed="53"/>
      </right>
      <top style="medium">
        <color indexed="53"/>
      </top>
      <bottom/>
      <diagonal/>
    </border>
    <border>
      <left style="medium">
        <color indexed="53"/>
      </left>
      <right style="medium">
        <color indexed="53"/>
      </right>
      <top/>
      <bottom style="medium">
        <color indexed="53"/>
      </bottom>
      <diagonal/>
    </border>
    <border>
      <left/>
      <right/>
      <top style="thin">
        <color indexed="43"/>
      </top>
      <bottom style="thin">
        <color indexed="43"/>
      </bottom>
      <diagonal/>
    </border>
    <border>
      <left/>
      <right style="thin">
        <color indexed="43"/>
      </right>
      <top style="thin">
        <color indexed="43"/>
      </top>
      <bottom style="thin">
        <color indexed="43"/>
      </bottom>
      <diagonal/>
    </border>
    <border>
      <left style="medium">
        <color indexed="53"/>
      </left>
      <right style="medium">
        <color indexed="53"/>
      </right>
      <top/>
      <bottom/>
      <diagonal/>
    </border>
    <border>
      <left style="thin">
        <color indexed="53"/>
      </left>
      <right/>
      <top style="thin">
        <color indexed="53"/>
      </top>
      <bottom/>
      <diagonal/>
    </border>
    <border>
      <left/>
      <right style="thin">
        <color indexed="53"/>
      </right>
      <top style="thin">
        <color indexed="53"/>
      </top>
      <bottom/>
      <diagonal/>
    </border>
    <border>
      <left style="thin">
        <color indexed="53"/>
      </left>
      <right/>
      <top/>
      <bottom style="thin">
        <color indexed="53"/>
      </bottom>
      <diagonal/>
    </border>
    <border>
      <left/>
      <right style="thin">
        <color indexed="53"/>
      </right>
      <top/>
      <bottom style="thin">
        <color indexed="53"/>
      </bottom>
      <diagonal/>
    </border>
    <border>
      <left style="double">
        <color indexed="43"/>
      </left>
      <right style="double">
        <color indexed="43"/>
      </right>
      <top style="double">
        <color indexed="43"/>
      </top>
      <bottom/>
      <diagonal/>
    </border>
    <border>
      <left style="double">
        <color indexed="43"/>
      </left>
      <right style="double">
        <color indexed="43"/>
      </right>
      <top/>
      <bottom style="double">
        <color indexed="43"/>
      </bottom>
      <diagonal/>
    </border>
    <border>
      <left style="thin">
        <color indexed="43"/>
      </left>
      <right/>
      <top style="thin">
        <color indexed="43"/>
      </top>
      <bottom/>
      <diagonal/>
    </border>
    <border>
      <left/>
      <right style="thin">
        <color indexed="43"/>
      </right>
      <top style="thin">
        <color indexed="43"/>
      </top>
      <bottom/>
      <diagonal/>
    </border>
    <border>
      <left style="thin">
        <color indexed="43"/>
      </left>
      <right/>
      <top/>
      <bottom style="thin">
        <color indexed="43"/>
      </bottom>
      <diagonal/>
    </border>
    <border>
      <left/>
      <right style="thin">
        <color indexed="43"/>
      </right>
      <top/>
      <bottom style="thin">
        <color indexed="43"/>
      </bottom>
      <diagonal/>
    </border>
    <border diagonalUp="1" diagonalDown="1">
      <left style="double">
        <color indexed="43"/>
      </left>
      <right style="double">
        <color indexed="43"/>
      </right>
      <top style="double">
        <color indexed="43"/>
      </top>
      <bottom/>
      <diagonal style="thin">
        <color indexed="43"/>
      </diagonal>
    </border>
    <border diagonalUp="1" diagonalDown="1">
      <left style="double">
        <color indexed="43"/>
      </left>
      <right style="double">
        <color indexed="43"/>
      </right>
      <top/>
      <bottom/>
      <diagonal style="thin">
        <color indexed="43"/>
      </diagonal>
    </border>
    <border diagonalUp="1" diagonalDown="1">
      <left style="double">
        <color indexed="43"/>
      </left>
      <right style="double">
        <color indexed="43"/>
      </right>
      <top/>
      <bottom style="double">
        <color indexed="43"/>
      </bottom>
      <diagonal style="thin">
        <color indexed="43"/>
      </diagonal>
    </border>
    <border>
      <left style="double">
        <color indexed="43"/>
      </left>
      <right style="double">
        <color indexed="43"/>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43"/>
      </top>
      <bottom/>
      <diagonal/>
    </border>
    <border>
      <left/>
      <right/>
      <top/>
      <bottom style="thin">
        <color indexed="43"/>
      </bottom>
      <diagonal/>
    </border>
    <border>
      <left/>
      <right style="thin">
        <color indexed="53"/>
      </right>
      <top style="thin">
        <color indexed="51"/>
      </top>
      <bottom style="thin">
        <color indexed="51"/>
      </bottom>
      <diagonal/>
    </border>
    <border>
      <left style="thin">
        <color indexed="43"/>
      </left>
      <right/>
      <top/>
      <bottom/>
      <diagonal/>
    </border>
    <border>
      <left/>
      <right style="thin">
        <color indexed="43"/>
      </right>
      <top/>
      <bottom/>
      <diagonal/>
    </border>
    <border>
      <left/>
      <right style="thin">
        <color indexed="64"/>
      </right>
      <top style="thin">
        <color indexed="64"/>
      </top>
      <bottom style="thin">
        <color indexed="64"/>
      </bottom>
      <diagonal/>
    </border>
    <border>
      <left/>
      <right style="medium">
        <color indexed="52"/>
      </right>
      <top/>
      <bottom/>
      <diagonal/>
    </border>
    <border>
      <left/>
      <right style="double">
        <color indexed="43"/>
      </right>
      <top style="double">
        <color indexed="43"/>
      </top>
      <bottom/>
      <diagonal/>
    </border>
    <border>
      <left/>
      <right style="double">
        <color indexed="43"/>
      </right>
      <top/>
      <bottom/>
      <diagonal/>
    </border>
    <border>
      <left/>
      <right style="double">
        <color indexed="43"/>
      </right>
      <top/>
      <bottom style="double">
        <color indexed="43"/>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517">
    <xf numFmtId="0" fontId="0" fillId="0" borderId="0" xfId="0"/>
    <xf numFmtId="0" fontId="7" fillId="2" borderId="0" xfId="0" applyFont="1" applyFill="1" applyProtection="1">
      <protection hidden="1"/>
    </xf>
    <xf numFmtId="0" fontId="9" fillId="2" borderId="0" xfId="0" applyFont="1" applyFill="1" applyAlignment="1" applyProtection="1">
      <alignment horizontal="justify" vertical="center" wrapText="1"/>
      <protection hidden="1"/>
    </xf>
    <xf numFmtId="0" fontId="18" fillId="2" borderId="0" xfId="0" applyFont="1" applyFill="1" applyBorder="1" applyAlignment="1" applyProtection="1">
      <alignment horizontal="center" vertical="center"/>
      <protection hidden="1"/>
    </xf>
    <xf numFmtId="0" fontId="9" fillId="2" borderId="0" xfId="0" applyFont="1" applyFill="1" applyProtection="1">
      <protection hidden="1"/>
    </xf>
    <xf numFmtId="0" fontId="15" fillId="2" borderId="0" xfId="0" applyFont="1" applyFill="1" applyBorder="1" applyProtection="1">
      <protection hidden="1"/>
    </xf>
    <xf numFmtId="0" fontId="28" fillId="2" borderId="0" xfId="0" applyFont="1" applyFill="1" applyBorder="1" applyAlignment="1" applyProtection="1">
      <alignment horizontal="center" vertical="center"/>
      <protection hidden="1"/>
    </xf>
    <xf numFmtId="0" fontId="9" fillId="2" borderId="0" xfId="0" applyFont="1" applyFill="1" applyBorder="1" applyProtection="1">
      <protection hidden="1"/>
    </xf>
    <xf numFmtId="49" fontId="10" fillId="2" borderId="0" xfId="0" applyNumberFormat="1" applyFont="1" applyFill="1" applyBorder="1" applyAlignment="1" applyProtection="1">
      <alignment horizontal="center" vertical="center"/>
      <protection hidden="1"/>
    </xf>
    <xf numFmtId="0" fontId="31" fillId="2" borderId="0" xfId="0" applyFont="1" applyFill="1" applyBorder="1" applyAlignment="1" applyProtection="1">
      <alignment horizontal="center" vertical="center"/>
      <protection hidden="1"/>
    </xf>
    <xf numFmtId="0" fontId="9" fillId="2" borderId="0" xfId="0" applyFont="1" applyFill="1" applyBorder="1" applyAlignment="1" applyProtection="1">
      <alignment horizontal="center" vertical="center"/>
      <protection hidden="1"/>
    </xf>
    <xf numFmtId="0" fontId="7" fillId="2" borderId="0" xfId="0" applyFont="1" applyFill="1" applyBorder="1" applyProtection="1">
      <protection hidden="1"/>
    </xf>
    <xf numFmtId="0" fontId="74" fillId="2" borderId="0" xfId="0" applyFont="1" applyFill="1" applyProtection="1">
      <protection hidden="1"/>
    </xf>
    <xf numFmtId="0" fontId="74" fillId="2" borderId="1" xfId="0" applyFont="1" applyFill="1" applyBorder="1" applyProtection="1">
      <protection hidden="1"/>
    </xf>
    <xf numFmtId="0" fontId="6" fillId="2" borderId="0" xfId="0" applyFont="1" applyFill="1" applyBorder="1" applyAlignment="1" applyProtection="1">
      <alignment horizontal="center" vertical="center"/>
      <protection hidden="1"/>
    </xf>
    <xf numFmtId="0" fontId="74" fillId="2" borderId="0" xfId="0" applyFont="1" applyFill="1" applyBorder="1" applyProtection="1">
      <protection hidden="1"/>
    </xf>
    <xf numFmtId="0" fontId="46" fillId="2" borderId="0" xfId="0" applyFont="1" applyFill="1" applyBorder="1" applyAlignment="1" applyProtection="1">
      <alignment horizontal="center" vertical="center"/>
      <protection hidden="1"/>
    </xf>
    <xf numFmtId="0" fontId="64" fillId="2" borderId="0" xfId="0" applyFont="1" applyFill="1" applyBorder="1" applyAlignment="1" applyProtection="1">
      <alignment horizontal="center" vertical="center"/>
      <protection hidden="1"/>
    </xf>
    <xf numFmtId="0" fontId="96" fillId="2" borderId="0" xfId="0" applyFont="1" applyFill="1" applyBorder="1" applyAlignment="1" applyProtection="1">
      <alignment horizontal="center" vertical="center"/>
      <protection hidden="1"/>
    </xf>
    <xf numFmtId="0" fontId="71" fillId="2" borderId="0" xfId="0" applyFont="1" applyFill="1" applyProtection="1">
      <protection hidden="1"/>
    </xf>
    <xf numFmtId="0" fontId="56" fillId="2" borderId="0" xfId="0" applyFont="1" applyFill="1" applyBorder="1" applyAlignment="1" applyProtection="1">
      <alignment horizontal="center" vertical="center"/>
      <protection hidden="1"/>
    </xf>
    <xf numFmtId="0" fontId="100" fillId="2" borderId="0" xfId="0" applyFont="1" applyFill="1" applyBorder="1" applyAlignment="1" applyProtection="1">
      <alignment horizontal="center" vertical="center"/>
      <protection hidden="1"/>
    </xf>
    <xf numFmtId="0" fontId="103" fillId="2" borderId="0" xfId="0" applyFont="1" applyFill="1" applyBorder="1" applyAlignment="1" applyProtection="1">
      <alignment horizontal="center" vertical="center"/>
      <protection hidden="1"/>
    </xf>
    <xf numFmtId="49" fontId="6" fillId="2" borderId="0" xfId="0" applyNumberFormat="1" applyFont="1" applyFill="1" applyBorder="1" applyAlignment="1" applyProtection="1">
      <alignment horizontal="center" vertical="center"/>
      <protection hidden="1"/>
    </xf>
    <xf numFmtId="0" fontId="104" fillId="2" borderId="0" xfId="0" applyFont="1" applyFill="1" applyBorder="1" applyAlignment="1" applyProtection="1">
      <alignment horizontal="center" vertical="center"/>
      <protection hidden="1"/>
    </xf>
    <xf numFmtId="0" fontId="165" fillId="2" borderId="0" xfId="0" applyFont="1" applyFill="1" applyProtection="1">
      <protection hidden="1"/>
    </xf>
    <xf numFmtId="0" fontId="165" fillId="2" borderId="0" xfId="0" applyFont="1" applyFill="1" applyBorder="1" applyProtection="1">
      <protection hidden="1"/>
    </xf>
    <xf numFmtId="0" fontId="165" fillId="2" borderId="1" xfId="0" applyFont="1" applyFill="1" applyBorder="1" applyProtection="1">
      <protection hidden="1"/>
    </xf>
    <xf numFmtId="0" fontId="9" fillId="3" borderId="0" xfId="0" applyFont="1" applyFill="1" applyProtection="1">
      <protection hidden="1"/>
    </xf>
    <xf numFmtId="0" fontId="9" fillId="4" borderId="0" xfId="0" applyFont="1" applyFill="1" applyProtection="1">
      <protection hidden="1"/>
    </xf>
    <xf numFmtId="0" fontId="9" fillId="5" borderId="0" xfId="0" applyFont="1" applyFill="1" applyProtection="1">
      <protection hidden="1"/>
    </xf>
    <xf numFmtId="0" fontId="8" fillId="3" borderId="2" xfId="0" applyFont="1" applyFill="1" applyBorder="1" applyAlignment="1" applyProtection="1">
      <alignment horizontal="center" vertical="center" wrapText="1"/>
      <protection hidden="1"/>
    </xf>
    <xf numFmtId="0" fontId="9" fillId="3" borderId="3" xfId="0" applyFont="1" applyFill="1" applyBorder="1" applyProtection="1">
      <protection hidden="1"/>
    </xf>
    <xf numFmtId="0" fontId="39" fillId="2" borderId="0" xfId="0" applyFont="1" applyFill="1" applyBorder="1" applyAlignment="1" applyProtection="1">
      <alignment horizontal="right" vertical="center"/>
      <protection hidden="1"/>
    </xf>
    <xf numFmtId="0" fontId="48" fillId="6" borderId="4" xfId="0" applyFont="1" applyFill="1" applyBorder="1" applyAlignment="1" applyProtection="1">
      <alignment horizontal="center" vertical="center"/>
      <protection hidden="1"/>
    </xf>
    <xf numFmtId="0" fontId="52" fillId="2" borderId="0" xfId="0" applyFont="1" applyFill="1" applyBorder="1" applyAlignment="1" applyProtection="1">
      <alignment horizontal="center" vertical="center"/>
      <protection hidden="1"/>
    </xf>
    <xf numFmtId="0" fontId="111" fillId="2" borderId="0" xfId="0" applyFont="1" applyFill="1" applyAlignment="1" applyProtection="1">
      <alignment horizontal="center"/>
      <protection hidden="1"/>
    </xf>
    <xf numFmtId="0" fontId="5" fillId="2" borderId="0" xfId="0" applyFont="1" applyFill="1" applyAlignment="1" applyProtection="1">
      <alignment horizontal="center"/>
      <protection hidden="1"/>
    </xf>
    <xf numFmtId="0" fontId="111" fillId="2" borderId="0" xfId="0" applyFont="1" applyFill="1" applyProtection="1">
      <protection hidden="1"/>
    </xf>
    <xf numFmtId="0" fontId="80" fillId="2" borderId="0" xfId="0" applyFont="1" applyFill="1" applyProtection="1">
      <protection hidden="1"/>
    </xf>
    <xf numFmtId="0" fontId="9" fillId="3" borderId="5" xfId="0" applyFont="1" applyFill="1" applyBorder="1" applyProtection="1">
      <protection hidden="1"/>
    </xf>
    <xf numFmtId="0" fontId="86" fillId="2" borderId="0" xfId="0" applyFont="1" applyFill="1" applyProtection="1">
      <protection hidden="1"/>
    </xf>
    <xf numFmtId="0" fontId="9" fillId="2" borderId="6" xfId="0" applyFont="1" applyFill="1" applyBorder="1" applyProtection="1">
      <protection hidden="1"/>
    </xf>
    <xf numFmtId="0" fontId="9" fillId="2" borderId="1" xfId="0" applyFont="1" applyFill="1" applyBorder="1" applyProtection="1">
      <protection hidden="1"/>
    </xf>
    <xf numFmtId="0" fontId="8" fillId="2" borderId="0" xfId="0" applyFont="1" applyFill="1" applyProtection="1">
      <protection hidden="1"/>
    </xf>
    <xf numFmtId="0" fontId="166" fillId="3" borderId="5" xfId="0" applyFont="1" applyFill="1" applyBorder="1" applyProtection="1">
      <protection hidden="1"/>
    </xf>
    <xf numFmtId="0" fontId="15" fillId="2" borderId="7" xfId="0" applyFont="1" applyFill="1" applyBorder="1" applyProtection="1">
      <protection hidden="1"/>
    </xf>
    <xf numFmtId="0" fontId="15" fillId="6" borderId="4" xfId="0" applyFont="1" applyFill="1" applyBorder="1" applyAlignment="1" applyProtection="1">
      <alignment horizontal="center" vertical="center"/>
      <protection hidden="1"/>
    </xf>
    <xf numFmtId="0" fontId="56" fillId="6" borderId="8" xfId="0" applyFont="1" applyFill="1" applyBorder="1" applyAlignment="1" applyProtection="1">
      <alignment horizontal="center" vertical="center"/>
      <protection hidden="1"/>
    </xf>
    <xf numFmtId="0" fontId="15" fillId="6" borderId="8" xfId="0" applyFont="1" applyFill="1" applyBorder="1" applyAlignment="1" applyProtection="1">
      <alignment horizontal="center" vertical="center"/>
      <protection hidden="1"/>
    </xf>
    <xf numFmtId="0" fontId="46" fillId="6" borderId="8" xfId="0" applyFont="1" applyFill="1" applyBorder="1" applyAlignment="1" applyProtection="1">
      <alignment horizontal="center" vertical="center"/>
      <protection hidden="1"/>
    </xf>
    <xf numFmtId="0" fontId="47" fillId="6" borderId="9" xfId="0" applyFont="1" applyFill="1" applyBorder="1" applyAlignment="1" applyProtection="1">
      <alignment horizontal="center" vertical="center"/>
      <protection hidden="1"/>
    </xf>
    <xf numFmtId="0" fontId="15" fillId="2" borderId="10" xfId="0" applyFont="1" applyFill="1" applyBorder="1" applyProtection="1">
      <protection hidden="1"/>
    </xf>
    <xf numFmtId="0" fontId="61" fillId="7" borderId="11" xfId="0" applyFont="1" applyFill="1" applyBorder="1" applyAlignment="1" applyProtection="1">
      <alignment horizontal="center" vertical="center"/>
      <protection hidden="1"/>
    </xf>
    <xf numFmtId="0" fontId="25" fillId="2" borderId="0" xfId="0" applyFont="1" applyFill="1" applyProtection="1">
      <protection hidden="1"/>
    </xf>
    <xf numFmtId="0" fontId="47" fillId="6" borderId="4" xfId="0" applyFont="1" applyFill="1" applyBorder="1" applyAlignment="1" applyProtection="1">
      <alignment horizontal="center" vertical="center"/>
      <protection hidden="1"/>
    </xf>
    <xf numFmtId="0" fontId="9" fillId="3" borderId="0" xfId="0" applyFont="1" applyFill="1" applyBorder="1" applyProtection="1">
      <protection hidden="1"/>
    </xf>
    <xf numFmtId="0" fontId="47" fillId="6" borderId="8" xfId="0" applyFont="1" applyFill="1" applyBorder="1" applyAlignment="1" applyProtection="1">
      <alignment horizontal="center" vertical="center"/>
      <protection hidden="1"/>
    </xf>
    <xf numFmtId="0" fontId="26" fillId="2" borderId="0" xfId="0" applyFont="1" applyFill="1" applyProtection="1">
      <protection hidden="1"/>
    </xf>
    <xf numFmtId="0" fontId="18" fillId="6" borderId="4" xfId="0" applyFont="1" applyFill="1" applyBorder="1" applyAlignment="1" applyProtection="1">
      <alignment horizontal="center" vertical="center"/>
      <protection hidden="1"/>
    </xf>
    <xf numFmtId="0" fontId="9" fillId="2" borderId="12" xfId="0" applyFont="1" applyFill="1" applyBorder="1" applyProtection="1">
      <protection hidden="1"/>
    </xf>
    <xf numFmtId="0" fontId="15" fillId="2" borderId="12" xfId="0" applyFont="1" applyFill="1" applyBorder="1" applyProtection="1">
      <protection hidden="1"/>
    </xf>
    <xf numFmtId="0" fontId="39" fillId="6" borderId="13" xfId="0" applyFont="1" applyFill="1" applyBorder="1" applyAlignment="1" applyProtection="1">
      <alignment vertical="center"/>
      <protection hidden="1"/>
    </xf>
    <xf numFmtId="0" fontId="28" fillId="3" borderId="14" xfId="0" applyFont="1" applyFill="1" applyBorder="1" applyAlignment="1" applyProtection="1">
      <alignment horizontal="center" vertical="center"/>
      <protection hidden="1"/>
    </xf>
    <xf numFmtId="0" fontId="6" fillId="6" borderId="13" xfId="0" applyFont="1" applyFill="1" applyBorder="1" applyAlignment="1" applyProtection="1">
      <alignment horizontal="center" vertical="center"/>
      <protection hidden="1"/>
    </xf>
    <xf numFmtId="0" fontId="9" fillId="8" borderId="0" xfId="0" applyFont="1" applyFill="1" applyBorder="1" applyProtection="1">
      <protection hidden="1"/>
    </xf>
    <xf numFmtId="0" fontId="28" fillId="3" borderId="13" xfId="0" applyFont="1" applyFill="1" applyBorder="1" applyAlignment="1" applyProtection="1">
      <alignment horizontal="center" vertical="center"/>
      <protection hidden="1"/>
    </xf>
    <xf numFmtId="0" fontId="9" fillId="8" borderId="0" xfId="0" applyFont="1" applyFill="1" applyBorder="1" applyAlignment="1" applyProtection="1">
      <alignment horizontal="center" vertical="center"/>
      <protection hidden="1"/>
    </xf>
    <xf numFmtId="0" fontId="42" fillId="3" borderId="14" xfId="0" applyFont="1" applyFill="1" applyBorder="1" applyAlignment="1" applyProtection="1">
      <alignment horizontal="center" vertical="center"/>
      <protection hidden="1"/>
    </xf>
    <xf numFmtId="0" fontId="64" fillId="6" borderId="8" xfId="0" applyFont="1" applyFill="1" applyBorder="1" applyAlignment="1" applyProtection="1">
      <alignment horizontal="center" vertical="center"/>
      <protection hidden="1"/>
    </xf>
    <xf numFmtId="0" fontId="15" fillId="6" borderId="9" xfId="0" applyFont="1" applyFill="1" applyBorder="1" applyAlignment="1" applyProtection="1">
      <alignment horizontal="center" vertical="center"/>
      <protection hidden="1"/>
    </xf>
    <xf numFmtId="0" fontId="9" fillId="8" borderId="15" xfId="0" applyFont="1" applyFill="1" applyBorder="1" applyProtection="1">
      <protection hidden="1"/>
    </xf>
    <xf numFmtId="0" fontId="9" fillId="8" borderId="14" xfId="0" applyFont="1" applyFill="1" applyBorder="1" applyAlignment="1" applyProtection="1">
      <alignment horizontal="center" vertical="center"/>
      <protection hidden="1"/>
    </xf>
    <xf numFmtId="0" fontId="42" fillId="3" borderId="13" xfId="0" applyFont="1" applyFill="1" applyBorder="1" applyAlignment="1" applyProtection="1">
      <alignment horizontal="center" vertical="center"/>
      <protection hidden="1"/>
    </xf>
    <xf numFmtId="0" fontId="45" fillId="6" borderId="8" xfId="0" applyFont="1" applyFill="1" applyBorder="1" applyAlignment="1" applyProtection="1">
      <alignment horizontal="center" vertical="center"/>
      <protection hidden="1"/>
    </xf>
    <xf numFmtId="0" fontId="9" fillId="8" borderId="16" xfId="0" applyFont="1" applyFill="1" applyBorder="1" applyProtection="1">
      <protection hidden="1"/>
    </xf>
    <xf numFmtId="0" fontId="9" fillId="8" borderId="17" xfId="0" applyFont="1" applyFill="1" applyBorder="1" applyAlignment="1" applyProtection="1">
      <alignment horizontal="center" vertical="center"/>
      <protection hidden="1"/>
    </xf>
    <xf numFmtId="0" fontId="86" fillId="2" borderId="0" xfId="0" applyFont="1" applyFill="1" applyAlignment="1" applyProtection="1">
      <alignment horizontal="justify" vertical="center"/>
      <protection hidden="1"/>
    </xf>
    <xf numFmtId="0" fontId="146" fillId="2" borderId="0" xfId="0" applyFont="1" applyFill="1" applyProtection="1">
      <protection hidden="1"/>
    </xf>
    <xf numFmtId="0" fontId="15" fillId="2" borderId="18" xfId="0" applyFont="1" applyFill="1" applyBorder="1" applyProtection="1">
      <protection hidden="1"/>
    </xf>
    <xf numFmtId="0" fontId="6" fillId="6" borderId="14" xfId="0" applyFont="1" applyFill="1" applyBorder="1" applyAlignment="1" applyProtection="1">
      <alignment horizontal="center" vertical="center"/>
      <protection hidden="1"/>
    </xf>
    <xf numFmtId="0" fontId="9" fillId="8" borderId="19" xfId="0" applyFont="1" applyFill="1" applyBorder="1" applyAlignment="1" applyProtection="1">
      <alignment horizontal="center" vertical="center"/>
      <protection hidden="1"/>
    </xf>
    <xf numFmtId="0" fontId="9" fillId="8" borderId="13" xfId="0" applyFont="1" applyFill="1" applyBorder="1" applyProtection="1">
      <protection hidden="1"/>
    </xf>
    <xf numFmtId="0" fontId="9" fillId="8" borderId="20" xfId="0" applyFont="1" applyFill="1" applyBorder="1" applyProtection="1">
      <protection hidden="1"/>
    </xf>
    <xf numFmtId="0" fontId="15" fillId="2" borderId="21" xfId="0" applyFont="1" applyFill="1" applyBorder="1" applyProtection="1">
      <protection hidden="1"/>
    </xf>
    <xf numFmtId="0" fontId="39" fillId="6" borderId="14" xfId="0" applyFont="1" applyFill="1" applyBorder="1" applyAlignment="1" applyProtection="1">
      <alignment vertical="center"/>
      <protection hidden="1"/>
    </xf>
    <xf numFmtId="0" fontId="9" fillId="8" borderId="22" xfId="0" applyFont="1" applyFill="1" applyBorder="1" applyProtection="1">
      <protection hidden="1"/>
    </xf>
    <xf numFmtId="0" fontId="68" fillId="2" borderId="0" xfId="0" applyFont="1" applyFill="1" applyAlignment="1" applyProtection="1">
      <alignment horizontal="right"/>
      <protection hidden="1"/>
    </xf>
    <xf numFmtId="0" fontId="9" fillId="8" borderId="23" xfId="0" applyFont="1" applyFill="1" applyBorder="1" applyProtection="1">
      <protection hidden="1"/>
    </xf>
    <xf numFmtId="0" fontId="86" fillId="2" borderId="0" xfId="0" applyFont="1" applyFill="1" applyAlignment="1" applyProtection="1">
      <alignment horizontal="center" vertical="center"/>
      <protection hidden="1"/>
    </xf>
    <xf numFmtId="0" fontId="9" fillId="2" borderId="24" xfId="0" applyFont="1" applyFill="1" applyBorder="1" applyProtection="1">
      <protection hidden="1"/>
    </xf>
    <xf numFmtId="0" fontId="48" fillId="6" borderId="9" xfId="0" applyFont="1" applyFill="1" applyBorder="1" applyAlignment="1" applyProtection="1">
      <alignment horizontal="center" vertical="center"/>
      <protection hidden="1"/>
    </xf>
    <xf numFmtId="0" fontId="9" fillId="2" borderId="0" xfId="0" applyFont="1" applyFill="1" applyAlignment="1" applyProtection="1">
      <alignment horizontal="center" vertical="center"/>
      <protection hidden="1"/>
    </xf>
    <xf numFmtId="0" fontId="80" fillId="2" borderId="0" xfId="0" applyFont="1" applyFill="1" applyAlignment="1" applyProtection="1">
      <alignment horizontal="justify" vertical="top"/>
      <protection hidden="1"/>
    </xf>
    <xf numFmtId="0" fontId="70" fillId="2" borderId="0" xfId="0" applyFont="1" applyFill="1" applyAlignment="1" applyProtection="1">
      <alignment horizontal="right" vertical="center"/>
      <protection hidden="1"/>
    </xf>
    <xf numFmtId="0" fontId="48" fillId="6" borderId="8" xfId="0" applyFont="1" applyFill="1" applyBorder="1" applyAlignment="1" applyProtection="1">
      <alignment horizontal="center" vertical="center"/>
      <protection hidden="1"/>
    </xf>
    <xf numFmtId="0" fontId="75" fillId="3" borderId="13" xfId="0" applyFont="1" applyFill="1" applyBorder="1" applyAlignment="1" applyProtection="1">
      <alignment horizontal="center" vertical="center"/>
      <protection hidden="1"/>
    </xf>
    <xf numFmtId="0" fontId="9" fillId="8" borderId="25" xfId="0" applyFont="1" applyFill="1" applyBorder="1" applyProtection="1">
      <protection hidden="1"/>
    </xf>
    <xf numFmtId="0" fontId="9" fillId="8" borderId="17" xfId="0" applyFont="1" applyFill="1" applyBorder="1" applyProtection="1">
      <protection hidden="1"/>
    </xf>
    <xf numFmtId="0" fontId="68" fillId="2" borderId="0" xfId="0" applyFont="1" applyFill="1" applyAlignment="1" applyProtection="1">
      <alignment horizontal="right" vertical="center"/>
      <protection hidden="1"/>
    </xf>
    <xf numFmtId="0" fontId="32" fillId="2" borderId="0" xfId="0" applyFont="1" applyFill="1" applyAlignment="1" applyProtection="1">
      <alignment horizontal="right" vertical="center"/>
      <protection hidden="1"/>
    </xf>
    <xf numFmtId="0" fontId="80" fillId="6" borderId="13" xfId="0" applyFont="1" applyFill="1" applyBorder="1" applyAlignment="1" applyProtection="1">
      <alignment horizontal="center" vertical="center"/>
      <protection hidden="1"/>
    </xf>
    <xf numFmtId="49" fontId="10" fillId="3" borderId="13" xfId="0" applyNumberFormat="1" applyFont="1" applyFill="1" applyBorder="1" applyAlignment="1" applyProtection="1">
      <alignment horizontal="center" vertical="center"/>
      <protection hidden="1"/>
    </xf>
    <xf numFmtId="0" fontId="18" fillId="2" borderId="7" xfId="0" applyFont="1" applyFill="1" applyBorder="1" applyAlignment="1" applyProtection="1">
      <alignment horizontal="center" vertical="center"/>
      <protection hidden="1"/>
    </xf>
    <xf numFmtId="0" fontId="18" fillId="2" borderId="10" xfId="0" applyFont="1" applyFill="1" applyBorder="1" applyAlignment="1" applyProtection="1">
      <alignment horizontal="center" vertical="center"/>
      <protection hidden="1"/>
    </xf>
    <xf numFmtId="0" fontId="28" fillId="9" borderId="13" xfId="0" applyFont="1" applyFill="1" applyBorder="1" applyAlignment="1" applyProtection="1">
      <alignment horizontal="center" vertical="center"/>
      <protection hidden="1"/>
    </xf>
    <xf numFmtId="0" fontId="9" fillId="2" borderId="26" xfId="0" applyFont="1" applyFill="1" applyBorder="1" applyProtection="1">
      <protection hidden="1"/>
    </xf>
    <xf numFmtId="0" fontId="9" fillId="2" borderId="27" xfId="0" applyFont="1" applyFill="1" applyBorder="1" applyProtection="1">
      <protection hidden="1"/>
    </xf>
    <xf numFmtId="0" fontId="10" fillId="2" borderId="21" xfId="0" applyFont="1" applyFill="1" applyBorder="1" applyProtection="1">
      <protection hidden="1"/>
    </xf>
    <xf numFmtId="0" fontId="9" fillId="2" borderId="21" xfId="0" applyFont="1" applyFill="1" applyBorder="1" applyProtection="1">
      <protection hidden="1"/>
    </xf>
    <xf numFmtId="0" fontId="9" fillId="2" borderId="28" xfId="0" applyFont="1" applyFill="1" applyBorder="1" applyProtection="1">
      <protection hidden="1"/>
    </xf>
    <xf numFmtId="0" fontId="9" fillId="2" borderId="29" xfId="0" applyFont="1" applyFill="1" applyBorder="1" applyProtection="1">
      <protection hidden="1"/>
    </xf>
    <xf numFmtId="0" fontId="31" fillId="3" borderId="13" xfId="0" applyFont="1" applyFill="1" applyBorder="1" applyAlignment="1" applyProtection="1">
      <alignment horizontal="center" vertical="center"/>
      <protection hidden="1"/>
    </xf>
    <xf numFmtId="0" fontId="7" fillId="10" borderId="13" xfId="0" applyFont="1" applyFill="1" applyBorder="1" applyAlignment="1" applyProtection="1">
      <alignment horizontal="center" vertical="center"/>
      <protection hidden="1"/>
    </xf>
    <xf numFmtId="0" fontId="28" fillId="9" borderId="13" xfId="0" applyFont="1" applyFill="1" applyBorder="1" applyAlignment="1" applyProtection="1">
      <alignment horizontal="left" vertical="center" wrapText="1"/>
      <protection hidden="1"/>
    </xf>
    <xf numFmtId="0" fontId="6" fillId="6" borderId="13" xfId="0" applyFont="1" applyFill="1" applyBorder="1" applyAlignment="1" applyProtection="1">
      <alignment horizontal="center" vertical="center" wrapText="1"/>
      <protection hidden="1"/>
    </xf>
    <xf numFmtId="0" fontId="9" fillId="8" borderId="30" xfId="0" applyFont="1" applyFill="1" applyBorder="1" applyProtection="1">
      <protection hidden="1"/>
    </xf>
    <xf numFmtId="0" fontId="7" fillId="8" borderId="17" xfId="0" applyFont="1" applyFill="1" applyBorder="1" applyProtection="1">
      <protection hidden="1"/>
    </xf>
    <xf numFmtId="0" fontId="10" fillId="3" borderId="13" xfId="0" applyFont="1" applyFill="1" applyBorder="1" applyAlignment="1" applyProtection="1">
      <alignment horizontal="center" vertical="center"/>
      <protection hidden="1"/>
    </xf>
    <xf numFmtId="0" fontId="84" fillId="3" borderId="13" xfId="0" applyFont="1" applyFill="1" applyBorder="1" applyAlignment="1" applyProtection="1">
      <alignment horizontal="center" vertical="center"/>
      <protection hidden="1"/>
    </xf>
    <xf numFmtId="0" fontId="18" fillId="6" borderId="8" xfId="0" applyFont="1" applyFill="1" applyBorder="1" applyAlignment="1" applyProtection="1">
      <alignment horizontal="center" vertical="center"/>
      <protection hidden="1"/>
    </xf>
    <xf numFmtId="0" fontId="7" fillId="9" borderId="13" xfId="0" applyFont="1" applyFill="1" applyBorder="1" applyAlignment="1" applyProtection="1">
      <alignment horizontal="center" vertical="center"/>
      <protection hidden="1"/>
    </xf>
    <xf numFmtId="0" fontId="7" fillId="8" borderId="17" xfId="0" applyFont="1" applyFill="1" applyBorder="1" applyAlignment="1" applyProtection="1">
      <alignment horizontal="center" vertical="center"/>
      <protection hidden="1"/>
    </xf>
    <xf numFmtId="0" fontId="55" fillId="6" borderId="13" xfId="0" applyFont="1" applyFill="1" applyBorder="1" applyAlignment="1" applyProtection="1">
      <alignment horizontal="center" vertical="center"/>
      <protection hidden="1"/>
    </xf>
    <xf numFmtId="0" fontId="9" fillId="3" borderId="31" xfId="0" applyFont="1" applyFill="1" applyBorder="1" applyProtection="1">
      <protection hidden="1"/>
    </xf>
    <xf numFmtId="0" fontId="9" fillId="3" borderId="32" xfId="0" applyFont="1" applyFill="1" applyBorder="1" applyProtection="1">
      <protection hidden="1"/>
    </xf>
    <xf numFmtId="0" fontId="15" fillId="2" borderId="33" xfId="0" applyFont="1" applyFill="1" applyBorder="1" applyProtection="1">
      <protection hidden="1"/>
    </xf>
    <xf numFmtId="0" fontId="15" fillId="2" borderId="34" xfId="0" applyFont="1" applyFill="1" applyBorder="1" applyProtection="1">
      <protection hidden="1"/>
    </xf>
    <xf numFmtId="0" fontId="39" fillId="6" borderId="13" xfId="0" applyFont="1" applyFill="1" applyBorder="1" applyAlignment="1" applyProtection="1">
      <alignment horizontal="center" vertical="center"/>
      <protection hidden="1"/>
    </xf>
    <xf numFmtId="0" fontId="9" fillId="8" borderId="14" xfId="0" applyFont="1" applyFill="1" applyBorder="1" applyProtection="1">
      <protection hidden="1"/>
    </xf>
    <xf numFmtId="0" fontId="86" fillId="6" borderId="13" xfId="0" applyFont="1" applyFill="1" applyBorder="1" applyAlignment="1" applyProtection="1">
      <alignment horizontal="center" vertical="center"/>
      <protection hidden="1"/>
    </xf>
    <xf numFmtId="0" fontId="88" fillId="6" borderId="14" xfId="0" applyFont="1" applyFill="1" applyBorder="1" applyAlignment="1" applyProtection="1">
      <alignment horizontal="center" vertical="center"/>
      <protection hidden="1"/>
    </xf>
    <xf numFmtId="0" fontId="7" fillId="3" borderId="13" xfId="0" applyFont="1" applyFill="1" applyBorder="1" applyAlignment="1" applyProtection="1">
      <alignment horizontal="center" vertical="center"/>
      <protection hidden="1"/>
    </xf>
    <xf numFmtId="0" fontId="88" fillId="6" borderId="13" xfId="0" applyFont="1" applyFill="1" applyBorder="1" applyAlignment="1" applyProtection="1">
      <alignment horizontal="center" vertical="center"/>
      <protection hidden="1"/>
    </xf>
    <xf numFmtId="0" fontId="9" fillId="3" borderId="35" xfId="0" applyFont="1" applyFill="1" applyBorder="1" applyProtection="1">
      <protection hidden="1"/>
    </xf>
    <xf numFmtId="0" fontId="18" fillId="2" borderId="21" xfId="0" applyFont="1" applyFill="1" applyBorder="1" applyAlignment="1" applyProtection="1">
      <alignment horizontal="center" vertical="center"/>
      <protection hidden="1"/>
    </xf>
    <xf numFmtId="0" fontId="18" fillId="2" borderId="12" xfId="0" applyFont="1" applyFill="1" applyBorder="1" applyAlignment="1" applyProtection="1">
      <alignment horizontal="center" vertical="center"/>
      <protection hidden="1"/>
    </xf>
    <xf numFmtId="0" fontId="31" fillId="10" borderId="13" xfId="0" applyFont="1" applyFill="1" applyBorder="1" applyAlignment="1" applyProtection="1">
      <alignment horizontal="center" vertical="center"/>
      <protection hidden="1"/>
    </xf>
    <xf numFmtId="0" fontId="28" fillId="2" borderId="13" xfId="0" applyFont="1" applyFill="1" applyBorder="1" applyAlignment="1" applyProtection="1">
      <alignment horizontal="center" vertical="center"/>
      <protection hidden="1"/>
    </xf>
    <xf numFmtId="0" fontId="11" fillId="6" borderId="13" xfId="0" applyFont="1" applyFill="1" applyBorder="1" applyAlignment="1" applyProtection="1">
      <alignment horizontal="center" vertical="center"/>
      <protection hidden="1"/>
    </xf>
    <xf numFmtId="0" fontId="166" fillId="3" borderId="36" xfId="0" applyFont="1" applyFill="1" applyBorder="1" applyProtection="1">
      <protection hidden="1"/>
    </xf>
    <xf numFmtId="0" fontId="9" fillId="3" borderId="36" xfId="0" applyFont="1" applyFill="1" applyBorder="1" applyProtection="1">
      <protection hidden="1"/>
    </xf>
    <xf numFmtId="0" fontId="9" fillId="2" borderId="5" xfId="0" applyFont="1" applyFill="1" applyBorder="1" applyProtection="1">
      <protection hidden="1"/>
    </xf>
    <xf numFmtId="0" fontId="9" fillId="2" borderId="37" xfId="0" applyFont="1" applyFill="1" applyBorder="1" applyProtection="1">
      <protection hidden="1"/>
    </xf>
    <xf numFmtId="0" fontId="92" fillId="2" borderId="0" xfId="0" applyFont="1" applyFill="1" applyBorder="1" applyAlignment="1" applyProtection="1">
      <alignment horizontal="center" vertical="center"/>
      <protection hidden="1"/>
    </xf>
    <xf numFmtId="0" fontId="167" fillId="6" borderId="8" xfId="0" applyFont="1" applyFill="1" applyBorder="1" applyAlignment="1" applyProtection="1">
      <alignment horizontal="center" vertical="center"/>
      <protection hidden="1"/>
    </xf>
    <xf numFmtId="49" fontId="61" fillId="4" borderId="13" xfId="0" applyNumberFormat="1" applyFont="1" applyFill="1" applyBorder="1" applyAlignment="1" applyProtection="1">
      <alignment horizontal="center" vertical="center"/>
      <protection locked="0" hidden="1"/>
    </xf>
    <xf numFmtId="0" fontId="101" fillId="2" borderId="0" xfId="0" applyFont="1" applyFill="1" applyProtection="1">
      <protection hidden="1"/>
    </xf>
    <xf numFmtId="0" fontId="171" fillId="2" borderId="0" xfId="0" applyFont="1" applyFill="1" applyProtection="1">
      <protection hidden="1"/>
    </xf>
    <xf numFmtId="0" fontId="97" fillId="2" borderId="0" xfId="0" applyFont="1" applyFill="1" applyProtection="1">
      <protection hidden="1"/>
    </xf>
    <xf numFmtId="0" fontId="166" fillId="2" borderId="0" xfId="0" applyFont="1" applyFill="1" applyProtection="1">
      <protection hidden="1"/>
    </xf>
    <xf numFmtId="0" fontId="174" fillId="2" borderId="0" xfId="0" applyFont="1" applyFill="1" applyAlignment="1" applyProtection="1">
      <alignment horizontal="justify" vertical="center"/>
      <protection hidden="1"/>
    </xf>
    <xf numFmtId="0" fontId="174" fillId="2" borderId="0" xfId="0" applyFont="1" applyFill="1" applyProtection="1">
      <protection hidden="1"/>
    </xf>
    <xf numFmtId="0" fontId="172" fillId="2" borderId="0" xfId="0" applyFont="1" applyFill="1" applyProtection="1">
      <protection hidden="1"/>
    </xf>
    <xf numFmtId="0" fontId="172" fillId="2" borderId="0" xfId="0" applyFont="1" applyFill="1" applyAlignment="1" applyProtection="1">
      <alignment horizontal="justify" vertical="center"/>
      <protection hidden="1"/>
    </xf>
    <xf numFmtId="0" fontId="166" fillId="2" borderId="0" xfId="0" applyFont="1" applyFill="1" applyAlignment="1" applyProtection="1">
      <alignment horizontal="center" vertical="center"/>
      <protection hidden="1"/>
    </xf>
    <xf numFmtId="0" fontId="175" fillId="2" borderId="0" xfId="0" applyFont="1" applyFill="1" applyBorder="1" applyAlignment="1" applyProtection="1">
      <alignment horizontal="center" vertical="center"/>
      <protection hidden="1"/>
    </xf>
    <xf numFmtId="0" fontId="176" fillId="2" borderId="0" xfId="0" applyFont="1" applyFill="1" applyBorder="1" applyAlignment="1" applyProtection="1">
      <alignment horizontal="center" vertical="center"/>
      <protection hidden="1"/>
    </xf>
    <xf numFmtId="0" fontId="177" fillId="2" borderId="0" xfId="0" applyFont="1" applyFill="1" applyBorder="1" applyAlignment="1" applyProtection="1">
      <alignment horizontal="center" vertical="center"/>
      <protection hidden="1"/>
    </xf>
    <xf numFmtId="0" fontId="178" fillId="2" borderId="0" xfId="0" applyFont="1" applyFill="1" applyBorder="1" applyAlignment="1" applyProtection="1">
      <alignment horizontal="center" vertical="center"/>
      <protection hidden="1"/>
    </xf>
    <xf numFmtId="0" fontId="179" fillId="2" borderId="0" xfId="0" applyFont="1" applyFill="1" applyBorder="1" applyAlignment="1" applyProtection="1">
      <alignment horizontal="center" vertical="center"/>
      <protection hidden="1"/>
    </xf>
    <xf numFmtId="0" fontId="180" fillId="2" borderId="0" xfId="0" applyFont="1" applyFill="1" applyBorder="1" applyAlignment="1" applyProtection="1">
      <alignment horizontal="center" vertical="center"/>
      <protection hidden="1"/>
    </xf>
    <xf numFmtId="0" fontId="181" fillId="2" borderId="0" xfId="0" applyFont="1" applyFill="1" applyBorder="1" applyAlignment="1" applyProtection="1">
      <alignment horizontal="center" vertical="center"/>
      <protection hidden="1"/>
    </xf>
    <xf numFmtId="49" fontId="177" fillId="2" borderId="0" xfId="0" applyNumberFormat="1" applyFont="1" applyFill="1" applyBorder="1" applyAlignment="1" applyProtection="1">
      <alignment horizontal="center" vertical="center"/>
      <protection hidden="1"/>
    </xf>
    <xf numFmtId="49" fontId="57" fillId="4" borderId="11" xfId="0" applyNumberFormat="1" applyFont="1" applyFill="1" applyBorder="1" applyAlignment="1" applyProtection="1">
      <alignment horizontal="center" vertical="center"/>
      <protection locked="0" hidden="1"/>
    </xf>
    <xf numFmtId="0" fontId="61" fillId="4" borderId="13" xfId="0" applyNumberFormat="1" applyFont="1" applyFill="1" applyBorder="1" applyAlignment="1" applyProtection="1">
      <alignment horizontal="center" vertical="center"/>
      <protection locked="0" hidden="1"/>
    </xf>
    <xf numFmtId="0" fontId="57" fillId="4" borderId="13" xfId="0" applyNumberFormat="1" applyFont="1" applyFill="1" applyBorder="1" applyAlignment="1" applyProtection="1">
      <alignment horizontal="center" vertical="center"/>
      <protection locked="0" hidden="1"/>
    </xf>
    <xf numFmtId="9" fontId="57" fillId="4" borderId="13" xfId="0" applyNumberFormat="1" applyFont="1" applyFill="1" applyBorder="1" applyAlignment="1" applyProtection="1">
      <alignment horizontal="center" vertical="center"/>
      <protection locked="0" hidden="1"/>
    </xf>
    <xf numFmtId="12" fontId="61" fillId="4" borderId="13" xfId="0" applyNumberFormat="1" applyFont="1" applyFill="1" applyBorder="1" applyAlignment="1" applyProtection="1">
      <alignment horizontal="center" vertical="center"/>
      <protection locked="0" hidden="1"/>
    </xf>
    <xf numFmtId="164" fontId="61" fillId="4" borderId="13" xfId="0" applyNumberFormat="1" applyFont="1" applyFill="1" applyBorder="1" applyAlignment="1" applyProtection="1">
      <alignment horizontal="center" vertical="center"/>
      <protection locked="0" hidden="1"/>
    </xf>
    <xf numFmtId="0" fontId="61" fillId="4" borderId="14" xfId="0" applyNumberFormat="1" applyFont="1" applyFill="1" applyBorder="1" applyAlignment="1" applyProtection="1">
      <alignment horizontal="center" vertical="center"/>
      <protection locked="0" hidden="1"/>
    </xf>
    <xf numFmtId="9" fontId="61" fillId="4" borderId="13" xfId="0" applyNumberFormat="1" applyFont="1" applyFill="1" applyBorder="1" applyAlignment="1" applyProtection="1">
      <alignment horizontal="center" vertical="center"/>
      <protection locked="0" hidden="1"/>
    </xf>
    <xf numFmtId="0" fontId="53" fillId="4" borderId="13" xfId="0" applyNumberFormat="1" applyFont="1" applyFill="1" applyBorder="1" applyAlignment="1" applyProtection="1">
      <alignment horizontal="center" vertical="center"/>
      <protection locked="0" hidden="1"/>
    </xf>
    <xf numFmtId="49" fontId="76" fillId="4" borderId="13" xfId="0" applyNumberFormat="1" applyFont="1" applyFill="1" applyBorder="1" applyAlignment="1" applyProtection="1">
      <alignment horizontal="center" vertical="center"/>
      <protection locked="0" hidden="1"/>
    </xf>
    <xf numFmtId="49" fontId="78" fillId="4" borderId="13" xfId="0" applyNumberFormat="1" applyFont="1" applyFill="1" applyBorder="1" applyAlignment="1" applyProtection="1">
      <alignment horizontal="center" vertical="center"/>
      <protection locked="0" hidden="1"/>
    </xf>
    <xf numFmtId="49" fontId="79" fillId="4" borderId="13" xfId="0" applyNumberFormat="1" applyFont="1" applyFill="1" applyBorder="1" applyAlignment="1" applyProtection="1">
      <alignment horizontal="center" vertical="center"/>
      <protection locked="0" hidden="1"/>
    </xf>
    <xf numFmtId="49" fontId="53" fillId="4" borderId="14" xfId="0" applyNumberFormat="1" applyFont="1" applyFill="1" applyBorder="1" applyAlignment="1" applyProtection="1">
      <alignment horizontal="center" vertical="center"/>
      <protection locked="0" hidden="1"/>
    </xf>
    <xf numFmtId="49" fontId="57" fillId="4" borderId="14" xfId="0" applyNumberFormat="1" applyFont="1" applyFill="1" applyBorder="1" applyAlignment="1" applyProtection="1">
      <alignment horizontal="center" vertical="center"/>
      <protection locked="0" hidden="1"/>
    </xf>
    <xf numFmtId="0" fontId="53" fillId="4" borderId="14" xfId="0" applyFont="1" applyFill="1" applyBorder="1" applyAlignment="1" applyProtection="1">
      <alignment horizontal="center" vertical="center"/>
      <protection locked="0" hidden="1"/>
    </xf>
    <xf numFmtId="49" fontId="61" fillId="4" borderId="14" xfId="0" applyNumberFormat="1" applyFont="1" applyFill="1" applyBorder="1" applyAlignment="1" applyProtection="1">
      <alignment horizontal="center" vertical="center"/>
      <protection locked="0" hidden="1"/>
    </xf>
    <xf numFmtId="49" fontId="79" fillId="4" borderId="14" xfId="0" applyNumberFormat="1" applyFont="1" applyFill="1" applyBorder="1" applyAlignment="1" applyProtection="1">
      <alignment horizontal="center" vertical="center"/>
      <protection locked="0" hidden="1"/>
    </xf>
    <xf numFmtId="49" fontId="170" fillId="4" borderId="14" xfId="0" applyNumberFormat="1" applyFont="1" applyFill="1" applyBorder="1" applyAlignment="1" applyProtection="1">
      <alignment horizontal="center" vertical="center"/>
      <protection locked="0" hidden="1"/>
    </xf>
    <xf numFmtId="49" fontId="89" fillId="4" borderId="13" xfId="0" applyNumberFormat="1" applyFont="1" applyFill="1" applyBorder="1" applyAlignment="1" applyProtection="1">
      <alignment horizontal="center" vertical="center"/>
      <protection locked="0" hidden="1"/>
    </xf>
    <xf numFmtId="49" fontId="89" fillId="4" borderId="14" xfId="0" applyNumberFormat="1" applyFont="1" applyFill="1" applyBorder="1" applyAlignment="1" applyProtection="1">
      <alignment horizontal="center" vertical="center"/>
      <protection locked="0" hidden="1"/>
    </xf>
    <xf numFmtId="0" fontId="170" fillId="4" borderId="14" xfId="0" applyFont="1" applyFill="1" applyBorder="1" applyAlignment="1" applyProtection="1">
      <alignment horizontal="center" vertical="center"/>
      <protection locked="0" hidden="1"/>
    </xf>
    <xf numFmtId="0" fontId="57" fillId="4" borderId="14" xfId="0" applyFont="1" applyFill="1" applyBorder="1" applyAlignment="1" applyProtection="1">
      <alignment horizontal="center" vertical="center"/>
      <protection locked="0" hidden="1"/>
    </xf>
    <xf numFmtId="0" fontId="56" fillId="6" borderId="8" xfId="0" applyFont="1" applyFill="1" applyBorder="1" applyAlignment="1" applyProtection="1">
      <alignment horizontal="center"/>
      <protection hidden="1"/>
    </xf>
    <xf numFmtId="0" fontId="15" fillId="6" borderId="8" xfId="0" applyFont="1" applyFill="1" applyBorder="1" applyAlignment="1" applyProtection="1">
      <alignment horizontal="center"/>
      <protection hidden="1"/>
    </xf>
    <xf numFmtId="0" fontId="47" fillId="6" borderId="4" xfId="0" applyFont="1" applyFill="1" applyBorder="1" applyAlignment="1" applyProtection="1">
      <alignment horizontal="center"/>
      <protection hidden="1"/>
    </xf>
    <xf numFmtId="0" fontId="47" fillId="6" borderId="9" xfId="0" applyFont="1" applyFill="1" applyBorder="1" applyAlignment="1" applyProtection="1">
      <alignment horizontal="center"/>
      <protection hidden="1"/>
    </xf>
    <xf numFmtId="0" fontId="15" fillId="6" borderId="4" xfId="0" applyFont="1" applyFill="1" applyBorder="1" applyAlignment="1" applyProtection="1">
      <alignment horizontal="center"/>
      <protection hidden="1"/>
    </xf>
    <xf numFmtId="0" fontId="15" fillId="6" borderId="9" xfId="0" applyFont="1" applyFill="1" applyBorder="1" applyAlignment="1" applyProtection="1">
      <alignment horizontal="center"/>
      <protection hidden="1"/>
    </xf>
    <xf numFmtId="49" fontId="61" fillId="4" borderId="58" xfId="0" applyNumberFormat="1" applyFont="1" applyFill="1" applyBorder="1" applyAlignment="1" applyProtection="1">
      <alignment horizontal="center" vertical="center"/>
      <protection locked="0" hidden="1"/>
    </xf>
    <xf numFmtId="0" fontId="187" fillId="2" borderId="0" xfId="0" applyFont="1" applyFill="1" applyBorder="1" applyProtection="1">
      <protection hidden="1"/>
    </xf>
    <xf numFmtId="0" fontId="187" fillId="2" borderId="1" xfId="0" applyFont="1" applyFill="1" applyBorder="1" applyProtection="1">
      <protection hidden="1"/>
    </xf>
    <xf numFmtId="0" fontId="186" fillId="2" borderId="0" xfId="0" applyFont="1" applyFill="1" applyBorder="1" applyProtection="1">
      <protection hidden="1"/>
    </xf>
    <xf numFmtId="0" fontId="68" fillId="2" borderId="0" xfId="0" applyFont="1" applyFill="1" applyAlignment="1" applyProtection="1">
      <alignment horizontal="justify" vertical="center"/>
      <protection hidden="1"/>
    </xf>
    <xf numFmtId="0" fontId="28" fillId="3" borderId="58" xfId="0" applyFont="1" applyFill="1" applyBorder="1" applyAlignment="1" applyProtection="1">
      <alignment horizontal="center" vertical="center"/>
      <protection hidden="1"/>
    </xf>
    <xf numFmtId="0" fontId="99" fillId="2" borderId="0" xfId="0" applyFont="1" applyFill="1" applyAlignment="1" applyProtection="1">
      <alignment horizontal="justify" vertical="center" wrapText="1"/>
      <protection hidden="1"/>
    </xf>
    <xf numFmtId="0" fontId="165" fillId="7" borderId="0" xfId="0" applyFont="1" applyFill="1" applyAlignment="1" applyProtection="1">
      <alignment horizontal="center" vertical="center"/>
      <protection hidden="1"/>
    </xf>
    <xf numFmtId="0" fontId="182" fillId="3" borderId="0" xfId="2" applyFont="1" applyFill="1" applyAlignment="1" applyProtection="1">
      <alignment horizontal="center" vertical="center"/>
      <protection hidden="1"/>
    </xf>
    <xf numFmtId="0" fontId="13" fillId="6" borderId="43" xfId="0" applyFont="1" applyFill="1" applyBorder="1" applyAlignment="1" applyProtection="1">
      <alignment horizontal="center" vertical="center"/>
      <protection hidden="1"/>
    </xf>
    <xf numFmtId="0" fontId="13" fillId="6" borderId="44" xfId="0" applyFont="1" applyFill="1" applyBorder="1" applyAlignment="1" applyProtection="1">
      <alignment horizontal="center" vertical="center"/>
      <protection hidden="1"/>
    </xf>
    <xf numFmtId="0" fontId="72" fillId="10" borderId="48" xfId="0" applyFont="1" applyFill="1" applyBorder="1" applyAlignment="1" applyProtection="1">
      <alignment horizontal="center" vertical="center"/>
      <protection hidden="1"/>
    </xf>
    <xf numFmtId="0" fontId="72" fillId="10" borderId="49" xfId="0" applyFont="1" applyFill="1" applyBorder="1" applyAlignment="1" applyProtection="1">
      <alignment horizontal="center" vertical="center"/>
      <protection hidden="1"/>
    </xf>
    <xf numFmtId="0" fontId="6" fillId="6" borderId="14" xfId="0" applyFont="1" applyFill="1" applyBorder="1" applyAlignment="1" applyProtection="1">
      <alignment horizontal="center"/>
      <protection hidden="1"/>
    </xf>
    <xf numFmtId="0" fontId="6" fillId="6" borderId="47" xfId="0" applyFont="1" applyFill="1" applyBorder="1" applyAlignment="1" applyProtection="1">
      <alignment horizontal="center"/>
      <protection hidden="1"/>
    </xf>
    <xf numFmtId="0" fontId="9" fillId="2" borderId="0" xfId="0" applyFont="1" applyFill="1" applyBorder="1" applyAlignment="1" applyProtection="1">
      <alignment horizontal="center"/>
      <protection hidden="1"/>
    </xf>
    <xf numFmtId="0" fontId="53" fillId="4" borderId="13" xfId="0" applyNumberFormat="1" applyFont="1" applyFill="1" applyBorder="1" applyAlignment="1" applyProtection="1">
      <alignment horizontal="center" vertical="center"/>
      <protection locked="0" hidden="1"/>
    </xf>
    <xf numFmtId="0" fontId="13" fillId="6" borderId="41" xfId="0" applyFont="1" applyFill="1" applyBorder="1" applyAlignment="1" applyProtection="1">
      <alignment horizontal="center" vertical="center"/>
      <protection hidden="1"/>
    </xf>
    <xf numFmtId="0" fontId="13" fillId="6" borderId="42" xfId="0" applyFont="1" applyFill="1" applyBorder="1" applyAlignment="1" applyProtection="1">
      <alignment horizontal="center" vertical="center"/>
      <protection hidden="1"/>
    </xf>
    <xf numFmtId="0" fontId="53" fillId="4" borderId="13" xfId="0" applyFont="1" applyFill="1" applyBorder="1" applyAlignment="1" applyProtection="1">
      <alignment horizontal="center" vertical="center"/>
      <protection locked="0" hidden="1"/>
    </xf>
    <xf numFmtId="0" fontId="7" fillId="6" borderId="13" xfId="0" applyFont="1" applyFill="1" applyBorder="1" applyAlignment="1" applyProtection="1">
      <alignment horizontal="justify" vertical="center" wrapText="1"/>
      <protection hidden="1"/>
    </xf>
    <xf numFmtId="0" fontId="46" fillId="8" borderId="0" xfId="0" applyFont="1" applyFill="1" applyBorder="1" applyAlignment="1" applyProtection="1">
      <alignment horizontal="center" vertical="center"/>
      <protection hidden="1"/>
    </xf>
    <xf numFmtId="0" fontId="64" fillId="8" borderId="0" xfId="0" applyFont="1" applyFill="1" applyBorder="1" applyAlignment="1" applyProtection="1">
      <alignment horizontal="center" vertical="center"/>
      <protection hidden="1"/>
    </xf>
    <xf numFmtId="0" fontId="53" fillId="4" borderId="57" xfId="0" applyNumberFormat="1" applyFont="1" applyFill="1" applyBorder="1" applyAlignment="1" applyProtection="1">
      <alignment horizontal="center" vertical="center"/>
      <protection locked="0" hidden="1"/>
    </xf>
    <xf numFmtId="0" fontId="53" fillId="4" borderId="66" xfId="0" applyNumberFormat="1" applyFont="1" applyFill="1" applyBorder="1" applyAlignment="1" applyProtection="1">
      <alignment horizontal="center" vertical="center"/>
      <protection locked="0" hidden="1"/>
    </xf>
    <xf numFmtId="0" fontId="53" fillId="4" borderId="58" xfId="0" applyNumberFormat="1" applyFont="1" applyFill="1" applyBorder="1" applyAlignment="1" applyProtection="1">
      <alignment horizontal="center" vertical="center"/>
      <protection locked="0" hidden="1"/>
    </xf>
    <xf numFmtId="49" fontId="61" fillId="4" borderId="13" xfId="0" applyNumberFormat="1" applyFont="1" applyFill="1" applyBorder="1" applyAlignment="1" applyProtection="1">
      <alignment horizontal="center" vertical="center"/>
      <protection locked="0" hidden="1"/>
    </xf>
    <xf numFmtId="49" fontId="61" fillId="4" borderId="57" xfId="0" applyNumberFormat="1" applyFont="1" applyFill="1" applyBorder="1" applyAlignment="1" applyProtection="1">
      <alignment horizontal="center" vertical="center"/>
      <protection locked="0" hidden="1"/>
    </xf>
    <xf numFmtId="49" fontId="61" fillId="4" borderId="58" xfId="0" applyNumberFormat="1" applyFont="1" applyFill="1" applyBorder="1" applyAlignment="1" applyProtection="1">
      <alignment horizontal="center" vertical="center"/>
      <protection locked="0" hidden="1"/>
    </xf>
    <xf numFmtId="0" fontId="7" fillId="6" borderId="57" xfId="0" applyFont="1" applyFill="1" applyBorder="1" applyAlignment="1" applyProtection="1">
      <alignment horizontal="justify" vertical="center" wrapText="1"/>
      <protection hidden="1"/>
    </xf>
    <xf numFmtId="0" fontId="7" fillId="6" borderId="58" xfId="0" applyFont="1" applyFill="1" applyBorder="1" applyAlignment="1" applyProtection="1">
      <alignment horizontal="justify" vertical="center" wrapText="1"/>
      <protection hidden="1"/>
    </xf>
    <xf numFmtId="12" fontId="61" fillId="4" borderId="13" xfId="0" applyNumberFormat="1" applyFont="1" applyFill="1" applyBorder="1" applyAlignment="1" applyProtection="1">
      <alignment horizontal="center" vertical="center"/>
      <protection locked="0" hidden="1"/>
    </xf>
    <xf numFmtId="0" fontId="18" fillId="8" borderId="66" xfId="0" quotePrefix="1" applyFont="1" applyFill="1" applyBorder="1" applyAlignment="1" applyProtection="1">
      <alignment horizontal="center" vertical="center"/>
      <protection hidden="1"/>
    </xf>
    <xf numFmtId="0" fontId="17" fillId="8" borderId="66" xfId="0" applyFont="1" applyFill="1" applyBorder="1" applyAlignment="1" applyProtection="1">
      <alignment horizontal="center" vertical="center"/>
      <protection hidden="1"/>
    </xf>
    <xf numFmtId="0" fontId="9" fillId="2" borderId="0" xfId="0" applyFont="1" applyFill="1" applyBorder="1" applyAlignment="1" applyProtection="1">
      <alignment horizontal="left" vertical="center" wrapText="1"/>
      <protection hidden="1"/>
    </xf>
    <xf numFmtId="0" fontId="19" fillId="10" borderId="45" xfId="0" applyFont="1" applyFill="1" applyBorder="1" applyAlignment="1" applyProtection="1">
      <alignment horizontal="center" vertical="center"/>
      <protection locked="0" hidden="1"/>
    </xf>
    <xf numFmtId="0" fontId="19" fillId="10" borderId="46" xfId="0" applyFont="1" applyFill="1" applyBorder="1" applyAlignment="1" applyProtection="1">
      <alignment horizontal="center" vertical="center"/>
      <protection locked="0" hidden="1"/>
    </xf>
    <xf numFmtId="0" fontId="7" fillId="6" borderId="13" xfId="0" applyFont="1" applyFill="1" applyBorder="1" applyAlignment="1" applyProtection="1">
      <alignment horizontal="left" vertical="center" wrapText="1"/>
      <protection hidden="1"/>
    </xf>
    <xf numFmtId="0" fontId="9" fillId="2" borderId="0" xfId="0" applyFont="1" applyFill="1" applyBorder="1" applyAlignment="1" applyProtection="1">
      <alignment horizontal="left" vertical="center"/>
      <protection hidden="1"/>
    </xf>
    <xf numFmtId="0" fontId="169" fillId="4" borderId="13" xfId="0" applyNumberFormat="1" applyFont="1" applyFill="1" applyBorder="1" applyAlignment="1" applyProtection="1">
      <alignment horizontal="center" vertical="center"/>
      <protection locked="0" hidden="1"/>
    </xf>
    <xf numFmtId="0" fontId="31" fillId="6" borderId="45" xfId="0" applyFont="1" applyFill="1" applyBorder="1" applyAlignment="1" applyProtection="1">
      <alignment horizontal="center" vertical="center" wrapText="1"/>
      <protection hidden="1"/>
    </xf>
    <xf numFmtId="0" fontId="31" fillId="6" borderId="46" xfId="0" applyFont="1" applyFill="1" applyBorder="1" applyAlignment="1" applyProtection="1">
      <alignment horizontal="center" vertical="center" wrapText="1"/>
      <protection hidden="1"/>
    </xf>
    <xf numFmtId="0" fontId="9" fillId="2" borderId="0" xfId="0" applyFont="1" applyFill="1" applyAlignment="1" applyProtection="1">
      <alignment horizontal="justify" wrapText="1"/>
      <protection hidden="1"/>
    </xf>
    <xf numFmtId="0" fontId="9" fillId="2" borderId="0" xfId="0" applyFont="1" applyFill="1" applyAlignment="1" applyProtection="1">
      <alignment horizontal="justify" vertical="center" wrapText="1"/>
      <protection hidden="1"/>
    </xf>
    <xf numFmtId="0" fontId="53" fillId="4" borderId="40" xfId="0" applyFont="1" applyFill="1" applyBorder="1" applyAlignment="1" applyProtection="1">
      <alignment horizontal="center" vertical="center"/>
      <protection locked="0" hidden="1"/>
    </xf>
    <xf numFmtId="0" fontId="53" fillId="4" borderId="38" xfId="0" applyFont="1" applyFill="1" applyBorder="1" applyAlignment="1" applyProtection="1">
      <alignment horizontal="center" vertical="center"/>
      <protection locked="0" hidden="1"/>
    </xf>
    <xf numFmtId="0" fontId="7" fillId="2" borderId="0" xfId="0" applyFont="1" applyFill="1" applyBorder="1" applyAlignment="1" applyProtection="1">
      <alignment horizontal="justify" vertical="center" wrapText="1"/>
      <protection hidden="1"/>
    </xf>
    <xf numFmtId="0" fontId="7" fillId="6" borderId="57" xfId="0" applyFont="1" applyFill="1" applyBorder="1" applyAlignment="1" applyProtection="1">
      <alignment horizontal="left" vertical="center" wrapText="1"/>
      <protection hidden="1"/>
    </xf>
    <xf numFmtId="0" fontId="7" fillId="6" borderId="58" xfId="0" applyFont="1" applyFill="1" applyBorder="1" applyAlignment="1" applyProtection="1">
      <alignment horizontal="left" vertical="center" wrapText="1"/>
      <protection hidden="1"/>
    </xf>
    <xf numFmtId="49" fontId="168" fillId="4" borderId="57" xfId="0" applyNumberFormat="1" applyFont="1" applyFill="1" applyBorder="1" applyAlignment="1" applyProtection="1">
      <alignment horizontal="center" vertical="center"/>
      <protection locked="0" hidden="1"/>
    </xf>
    <xf numFmtId="49" fontId="168" fillId="4" borderId="58" xfId="0" applyNumberFormat="1" applyFont="1" applyFill="1" applyBorder="1" applyAlignment="1" applyProtection="1">
      <alignment horizontal="center" vertical="center"/>
      <protection locked="0" hidden="1"/>
    </xf>
    <xf numFmtId="0" fontId="42" fillId="6" borderId="43" xfId="0" applyFont="1" applyFill="1" applyBorder="1" applyAlignment="1" applyProtection="1">
      <alignment horizontal="center" vertical="center"/>
      <protection hidden="1"/>
    </xf>
    <xf numFmtId="0" fontId="42" fillId="6" borderId="44" xfId="0" applyFont="1" applyFill="1" applyBorder="1" applyAlignment="1" applyProtection="1">
      <alignment horizontal="center" vertical="center"/>
      <protection hidden="1"/>
    </xf>
    <xf numFmtId="0" fontId="9" fillId="2" borderId="0" xfId="0" applyFont="1" applyFill="1" applyBorder="1" applyAlignment="1" applyProtection="1">
      <alignment horizontal="justify" vertical="center" wrapText="1"/>
      <protection hidden="1"/>
    </xf>
    <xf numFmtId="0" fontId="9" fillId="2" borderId="12" xfId="0" applyFont="1" applyFill="1" applyBorder="1" applyAlignment="1" applyProtection="1">
      <alignment horizontal="justify" vertical="center" wrapText="1"/>
      <protection hidden="1"/>
    </xf>
    <xf numFmtId="165" fontId="53" fillId="4" borderId="13" xfId="0" applyNumberFormat="1" applyFont="1" applyFill="1" applyBorder="1" applyAlignment="1" applyProtection="1">
      <alignment horizontal="center" vertical="center"/>
      <protection locked="0" hidden="1"/>
    </xf>
    <xf numFmtId="0" fontId="46" fillId="8" borderId="66" xfId="0" applyFont="1" applyFill="1" applyBorder="1" applyAlignment="1" applyProtection="1">
      <alignment horizontal="center" vertical="center"/>
      <protection hidden="1"/>
    </xf>
    <xf numFmtId="0" fontId="6" fillId="6" borderId="13" xfId="0" quotePrefix="1" applyFont="1" applyFill="1" applyBorder="1" applyAlignment="1" applyProtection="1">
      <alignment horizontal="center" vertical="center"/>
      <protection hidden="1"/>
    </xf>
    <xf numFmtId="0" fontId="6" fillId="6" borderId="13" xfId="0" applyFont="1" applyFill="1" applyBorder="1" applyAlignment="1" applyProtection="1">
      <alignment horizontal="center" vertical="center"/>
      <protection hidden="1"/>
    </xf>
    <xf numFmtId="0" fontId="172" fillId="2" borderId="0" xfId="0" applyFont="1" applyFill="1" applyAlignment="1" applyProtection="1">
      <alignment horizontal="right" vertical="center"/>
      <protection hidden="1"/>
    </xf>
    <xf numFmtId="0" fontId="7" fillId="2" borderId="0" xfId="0" applyFont="1" applyFill="1" applyAlignment="1" applyProtection="1">
      <alignment horizontal="justify" vertical="center" wrapText="1"/>
      <protection hidden="1"/>
    </xf>
    <xf numFmtId="0" fontId="142" fillId="2" borderId="0" xfId="0" applyFont="1" applyFill="1" applyAlignment="1" applyProtection="1">
      <alignment horizontal="justify" vertical="center"/>
      <protection hidden="1"/>
    </xf>
    <xf numFmtId="0" fontId="7" fillId="2" borderId="0" xfId="0" applyFont="1" applyFill="1" applyAlignment="1" applyProtection="1">
      <alignment horizontal="justify" vertical="center"/>
      <protection hidden="1"/>
    </xf>
    <xf numFmtId="0" fontId="134" fillId="2" borderId="0" xfId="0" applyFont="1" applyFill="1" applyAlignment="1" applyProtection="1">
      <alignment horizontal="right" vertical="center"/>
      <protection hidden="1"/>
    </xf>
    <xf numFmtId="0" fontId="135" fillId="2" borderId="0" xfId="0" applyFont="1" applyFill="1" applyAlignment="1" applyProtection="1">
      <alignment horizontal="justify" vertical="center"/>
      <protection hidden="1"/>
    </xf>
    <xf numFmtId="0" fontId="141" fillId="2" borderId="0" xfId="0" applyFont="1" applyFill="1" applyAlignment="1" applyProtection="1">
      <alignment horizontal="justify" vertical="center"/>
      <protection hidden="1"/>
    </xf>
    <xf numFmtId="0" fontId="27" fillId="2" borderId="0" xfId="0" applyFont="1" applyFill="1" applyAlignment="1" applyProtection="1">
      <alignment horizontal="justify" vertical="center"/>
      <protection hidden="1"/>
    </xf>
    <xf numFmtId="0" fontId="7" fillId="2" borderId="0" xfId="0" applyFont="1" applyFill="1" applyAlignment="1" applyProtection="1">
      <alignment horizontal="justify" vertical="top" wrapText="1"/>
      <protection hidden="1"/>
    </xf>
    <xf numFmtId="0" fontId="9" fillId="2" borderId="0" xfId="0" applyFont="1" applyFill="1" applyAlignment="1" applyProtection="1">
      <alignment horizontal="justify" vertical="center"/>
      <protection hidden="1"/>
    </xf>
    <xf numFmtId="0" fontId="147" fillId="2" borderId="0" xfId="0" applyFont="1" applyFill="1" applyAlignment="1" applyProtection="1">
      <alignment horizontal="justify" vertical="center"/>
      <protection hidden="1"/>
    </xf>
    <xf numFmtId="0" fontId="86" fillId="2" borderId="0" xfId="0" applyFont="1" applyFill="1" applyAlignment="1" applyProtection="1">
      <alignment horizontal="justify" vertical="center"/>
      <protection hidden="1"/>
    </xf>
    <xf numFmtId="0" fontId="101" fillId="2" borderId="0" xfId="0" applyFont="1" applyFill="1" applyAlignment="1" applyProtection="1">
      <alignment horizontal="right" vertical="center"/>
      <protection hidden="1"/>
    </xf>
    <xf numFmtId="0" fontId="9" fillId="2" borderId="0" xfId="0" applyFont="1" applyFill="1" applyAlignment="1" applyProtection="1">
      <alignment horizontal="left" vertical="center" wrapText="1"/>
      <protection hidden="1"/>
    </xf>
    <xf numFmtId="0" fontId="97" fillId="2" borderId="0" xfId="0" applyFont="1" applyFill="1" applyAlignment="1" applyProtection="1">
      <alignment horizontal="right" vertical="center"/>
      <protection hidden="1"/>
    </xf>
    <xf numFmtId="0" fontId="107" fillId="2" borderId="0" xfId="0" applyFont="1" applyFill="1" applyAlignment="1" applyProtection="1">
      <alignment horizontal="center" vertical="center"/>
      <protection hidden="1"/>
    </xf>
    <xf numFmtId="0" fontId="151" fillId="2" borderId="0" xfId="0" applyFont="1" applyFill="1" applyAlignment="1" applyProtection="1">
      <alignment horizontal="justify" vertical="center"/>
      <protection hidden="1"/>
    </xf>
    <xf numFmtId="0" fontId="148" fillId="2" borderId="0" xfId="0" applyFont="1" applyFill="1" applyAlignment="1" applyProtection="1">
      <alignment horizontal="right" vertical="top"/>
      <protection hidden="1"/>
    </xf>
    <xf numFmtId="0" fontId="6" fillId="2" borderId="0" xfId="0" applyFont="1" applyFill="1" applyAlignment="1" applyProtection="1">
      <alignment horizontal="center"/>
      <protection hidden="1"/>
    </xf>
    <xf numFmtId="0" fontId="134" fillId="2" borderId="0" xfId="0" applyFont="1" applyFill="1" applyAlignment="1" applyProtection="1">
      <alignment horizontal="justify" vertical="center"/>
      <protection hidden="1"/>
    </xf>
    <xf numFmtId="0" fontId="120" fillId="2" borderId="0" xfId="0" applyFont="1" applyFill="1" applyAlignment="1" applyProtection="1">
      <alignment horizontal="justify" vertical="center"/>
      <protection hidden="1"/>
    </xf>
    <xf numFmtId="0" fontId="120" fillId="2" borderId="0" xfId="0" applyFont="1" applyFill="1" applyAlignment="1" applyProtection="1">
      <alignment horizontal="justify" vertical="top"/>
      <protection hidden="1"/>
    </xf>
    <xf numFmtId="0" fontId="11" fillId="2" borderId="0" xfId="0" applyFont="1" applyFill="1" applyAlignment="1" applyProtection="1">
      <alignment horizontal="justify"/>
      <protection hidden="1"/>
    </xf>
    <xf numFmtId="0" fontId="105" fillId="2" borderId="0" xfId="0" applyFont="1" applyFill="1" applyAlignment="1" applyProtection="1">
      <alignment horizontal="center" vertical="center"/>
      <protection hidden="1"/>
    </xf>
    <xf numFmtId="0" fontId="109" fillId="2" borderId="0" xfId="0" applyFont="1" applyFill="1" applyAlignment="1" applyProtection="1">
      <alignment horizontal="center" vertical="center"/>
      <protection hidden="1"/>
    </xf>
    <xf numFmtId="0" fontId="110" fillId="2" borderId="0" xfId="0" applyFont="1" applyFill="1" applyAlignment="1" applyProtection="1">
      <alignment horizontal="center" vertical="center"/>
      <protection hidden="1"/>
    </xf>
    <xf numFmtId="0" fontId="19" fillId="2" borderId="0" xfId="0" applyFont="1" applyFill="1" applyAlignment="1" applyProtection="1">
      <alignment horizontal="center" vertical="center"/>
      <protection hidden="1"/>
    </xf>
    <xf numFmtId="0" fontId="114" fillId="2" borderId="0" xfId="0" applyFont="1" applyFill="1" applyAlignment="1" applyProtection="1">
      <alignment horizontal="center" vertical="center"/>
      <protection hidden="1"/>
    </xf>
    <xf numFmtId="0" fontId="83" fillId="2" borderId="0" xfId="0" applyFont="1" applyFill="1" applyAlignment="1" applyProtection="1">
      <alignment horizontal="center" vertical="center"/>
      <protection hidden="1"/>
    </xf>
    <xf numFmtId="0" fontId="113" fillId="2" borderId="0" xfId="0" applyFont="1" applyFill="1" applyAlignment="1" applyProtection="1">
      <alignment horizontal="center" vertical="center"/>
      <protection hidden="1"/>
    </xf>
    <xf numFmtId="0" fontId="23" fillId="2" borderId="0" xfId="0" applyFont="1" applyFill="1" applyAlignment="1" applyProtection="1">
      <alignment horizontal="center" vertical="center"/>
      <protection hidden="1"/>
    </xf>
    <xf numFmtId="0" fontId="128" fillId="2" borderId="0" xfId="0" applyFont="1" applyFill="1" applyAlignment="1" applyProtection="1">
      <alignment horizontal="justify" vertical="center"/>
      <protection hidden="1"/>
    </xf>
    <xf numFmtId="0" fontId="128" fillId="2" borderId="0" xfId="0" applyFont="1" applyFill="1" applyAlignment="1" applyProtection="1">
      <alignment horizontal="justify" vertical="top"/>
      <protection hidden="1"/>
    </xf>
    <xf numFmtId="0" fontId="132" fillId="2" borderId="0" xfId="0" applyFont="1" applyFill="1" applyAlignment="1" applyProtection="1">
      <alignment horizontal="justify" vertical="center"/>
      <protection hidden="1"/>
    </xf>
    <xf numFmtId="0" fontId="8" fillId="2" borderId="0" xfId="0" applyFont="1" applyFill="1" applyAlignment="1" applyProtection="1">
      <alignment horizontal="justify" vertical="center"/>
      <protection hidden="1"/>
    </xf>
    <xf numFmtId="0" fontId="116" fillId="2" borderId="0" xfId="0" applyFont="1" applyFill="1" applyAlignment="1" applyProtection="1">
      <alignment horizontal="center" vertical="center"/>
      <protection hidden="1"/>
    </xf>
    <xf numFmtId="0" fontId="126" fillId="2" borderId="0" xfId="0" applyFont="1" applyFill="1" applyAlignment="1" applyProtection="1">
      <alignment horizontal="justify" vertical="center" wrapText="1"/>
      <protection hidden="1"/>
    </xf>
    <xf numFmtId="0" fontId="64" fillId="2" borderId="0" xfId="0" applyFont="1" applyFill="1" applyBorder="1" applyAlignment="1" applyProtection="1">
      <alignment horizontal="center" vertical="center"/>
      <protection hidden="1"/>
    </xf>
    <xf numFmtId="0" fontId="46" fillId="2" borderId="0" xfId="0" applyFont="1" applyFill="1" applyBorder="1" applyAlignment="1" applyProtection="1">
      <alignment horizontal="center" vertical="center"/>
      <protection hidden="1"/>
    </xf>
    <xf numFmtId="0" fontId="28" fillId="2" borderId="0" xfId="0" applyFont="1" applyFill="1" applyBorder="1" applyAlignment="1" applyProtection="1">
      <alignment horizontal="center" vertical="center" wrapText="1"/>
      <protection hidden="1"/>
    </xf>
    <xf numFmtId="0" fontId="73" fillId="2" borderId="0" xfId="0" applyFont="1" applyFill="1" applyBorder="1" applyAlignment="1" applyProtection="1">
      <alignment horizontal="center" vertical="center"/>
      <protection hidden="1"/>
    </xf>
    <xf numFmtId="0" fontId="140" fillId="2" borderId="0" xfId="0" applyFont="1" applyFill="1" applyAlignment="1" applyProtection="1">
      <alignment horizontal="justify" vertical="center"/>
      <protection hidden="1"/>
    </xf>
    <xf numFmtId="0" fontId="94" fillId="2" borderId="0" xfId="0" applyFont="1" applyFill="1" applyAlignment="1" applyProtection="1">
      <alignment horizontal="justify" vertical="center"/>
      <protection hidden="1"/>
    </xf>
    <xf numFmtId="0" fontId="102" fillId="2" borderId="0" xfId="0" applyFont="1" applyFill="1" applyAlignment="1" applyProtection="1">
      <alignment horizontal="justify" vertical="center" wrapText="1"/>
      <protection hidden="1"/>
    </xf>
    <xf numFmtId="0" fontId="98" fillId="2" borderId="0" xfId="0" applyFont="1" applyFill="1" applyAlignment="1" applyProtection="1">
      <alignment horizontal="center" vertical="center"/>
      <protection hidden="1"/>
    </xf>
    <xf numFmtId="0" fontId="92" fillId="2" borderId="0" xfId="0" applyFont="1" applyFill="1" applyAlignment="1" applyProtection="1">
      <alignment horizontal="justify" vertical="center"/>
      <protection hidden="1"/>
    </xf>
    <xf numFmtId="0" fontId="99" fillId="2" borderId="0" xfId="0" applyFont="1" applyFill="1" applyAlignment="1" applyProtection="1">
      <alignment horizontal="justify" vertical="center" wrapText="1"/>
      <protection hidden="1"/>
    </xf>
    <xf numFmtId="0" fontId="166" fillId="2" borderId="0" xfId="0" applyFont="1" applyFill="1" applyAlignment="1" applyProtection="1">
      <alignment horizontal="justify" vertical="center" wrapText="1"/>
      <protection hidden="1"/>
    </xf>
    <xf numFmtId="0" fontId="178" fillId="2" borderId="0" xfId="0" applyFont="1" applyFill="1" applyBorder="1" applyAlignment="1" applyProtection="1">
      <alignment horizontal="center" vertical="center"/>
      <protection hidden="1"/>
    </xf>
    <xf numFmtId="0" fontId="6" fillId="2" borderId="0" xfId="0" applyFont="1" applyFill="1" applyBorder="1" applyAlignment="1" applyProtection="1">
      <alignment horizontal="center" vertical="center"/>
      <protection hidden="1"/>
    </xf>
    <xf numFmtId="0" fontId="98" fillId="2" borderId="0" xfId="0" applyFont="1" applyFill="1" applyAlignment="1" applyProtection="1">
      <alignment horizontal="center"/>
      <protection hidden="1"/>
    </xf>
    <xf numFmtId="0" fontId="97" fillId="2" borderId="0" xfId="0" applyFont="1" applyFill="1" applyAlignment="1" applyProtection="1">
      <alignment horizontal="justify" vertical="center" wrapText="1"/>
      <protection hidden="1"/>
    </xf>
    <xf numFmtId="0" fontId="171" fillId="2" borderId="0" xfId="0" applyFont="1" applyFill="1" applyBorder="1" applyAlignment="1" applyProtection="1">
      <alignment horizontal="center" vertical="center"/>
      <protection hidden="1"/>
    </xf>
    <xf numFmtId="0" fontId="176" fillId="2" borderId="0" xfId="0" applyFont="1" applyFill="1" applyBorder="1" applyAlignment="1" applyProtection="1">
      <alignment horizontal="center" vertical="center"/>
      <protection hidden="1"/>
    </xf>
    <xf numFmtId="0" fontId="92" fillId="2" borderId="0" xfId="0" applyFont="1" applyFill="1" applyBorder="1" applyAlignment="1" applyProtection="1">
      <alignment horizontal="center" vertical="center" wrapText="1"/>
      <protection hidden="1"/>
    </xf>
    <xf numFmtId="0" fontId="71" fillId="2" borderId="0" xfId="0" applyFont="1" applyFill="1" applyBorder="1" applyAlignment="1" applyProtection="1">
      <alignment horizontal="center" vertical="center"/>
      <protection hidden="1"/>
    </xf>
    <xf numFmtId="0" fontId="86" fillId="2" borderId="0" xfId="0" applyFont="1" applyFill="1" applyAlignment="1" applyProtection="1">
      <alignment horizontal="justify" vertical="center" wrapText="1"/>
      <protection hidden="1"/>
    </xf>
    <xf numFmtId="0" fontId="92" fillId="2" borderId="0" xfId="0" applyFont="1" applyFill="1" applyAlignment="1" applyProtection="1">
      <alignment horizontal="justify" vertical="center" wrapText="1"/>
      <protection hidden="1"/>
    </xf>
    <xf numFmtId="0" fontId="101" fillId="2" borderId="0" xfId="0" applyFont="1" applyFill="1" applyAlignment="1" applyProtection="1">
      <alignment horizontal="justify" vertical="center" wrapText="1"/>
      <protection hidden="1"/>
    </xf>
    <xf numFmtId="0" fontId="64" fillId="2" borderId="0" xfId="0" quotePrefix="1"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35" fillId="2" borderId="0" xfId="0" applyFont="1" applyFill="1" applyBorder="1" applyAlignment="1" applyProtection="1">
      <alignment horizontal="center" vertical="top"/>
      <protection hidden="1"/>
    </xf>
    <xf numFmtId="0" fontId="81" fillId="2" borderId="0" xfId="0" applyFont="1" applyFill="1" applyBorder="1" applyAlignment="1" applyProtection="1">
      <alignment horizontal="right" vertical="center"/>
      <protection hidden="1"/>
    </xf>
    <xf numFmtId="0" fontId="92" fillId="2" borderId="0" xfId="0" applyFont="1" applyFill="1" applyBorder="1" applyAlignment="1" applyProtection="1">
      <alignment horizontal="center" vertical="center"/>
      <protection hidden="1"/>
    </xf>
    <xf numFmtId="0" fontId="63" fillId="4" borderId="0" xfId="0" applyFont="1" applyFill="1" applyAlignment="1" applyProtection="1">
      <alignment horizontal="center" vertical="center"/>
      <protection hidden="1"/>
    </xf>
    <xf numFmtId="0" fontId="38" fillId="6" borderId="5" xfId="0" applyFont="1" applyFill="1" applyBorder="1" applyAlignment="1" applyProtection="1">
      <alignment horizontal="center" vertical="center"/>
      <protection hidden="1"/>
    </xf>
    <xf numFmtId="0" fontId="38" fillId="6" borderId="37" xfId="0" applyFont="1" applyFill="1" applyBorder="1" applyAlignment="1" applyProtection="1">
      <alignment horizontal="center" vertical="center"/>
      <protection hidden="1"/>
    </xf>
    <xf numFmtId="0" fontId="36" fillId="3" borderId="0" xfId="0" applyFont="1" applyFill="1" applyAlignment="1" applyProtection="1">
      <alignment horizontal="center" vertical="center"/>
      <protection hidden="1"/>
    </xf>
    <xf numFmtId="0" fontId="27" fillId="2" borderId="0" xfId="0" applyFont="1" applyFill="1" applyAlignment="1" applyProtection="1">
      <alignment horizontal="center" vertical="center"/>
      <protection hidden="1"/>
    </xf>
    <xf numFmtId="0" fontId="57" fillId="4" borderId="14" xfId="0" applyFont="1" applyFill="1" applyBorder="1" applyAlignment="1" applyProtection="1">
      <alignment horizontal="center" vertical="center"/>
      <protection locked="0" hidden="1"/>
    </xf>
    <xf numFmtId="0" fontId="6" fillId="6" borderId="25" xfId="0" applyFont="1" applyFill="1" applyBorder="1" applyAlignment="1" applyProtection="1">
      <alignment horizontal="center" vertical="center" wrapText="1"/>
      <protection hidden="1"/>
    </xf>
    <xf numFmtId="0" fontId="80" fillId="6" borderId="30" xfId="0" applyFont="1" applyFill="1" applyBorder="1" applyAlignment="1" applyProtection="1">
      <alignment horizontal="center" vertical="center"/>
      <protection hidden="1"/>
    </xf>
    <xf numFmtId="0" fontId="80" fillId="6" borderId="23" xfId="0" applyFont="1" applyFill="1" applyBorder="1" applyAlignment="1" applyProtection="1">
      <alignment horizontal="center" vertical="center"/>
      <protection hidden="1"/>
    </xf>
    <xf numFmtId="0" fontId="80" fillId="6" borderId="16" xfId="0" applyFont="1" applyFill="1" applyBorder="1" applyAlignment="1" applyProtection="1">
      <alignment horizontal="center" vertical="center"/>
      <protection hidden="1"/>
    </xf>
    <xf numFmtId="49" fontId="7" fillId="6" borderId="13" xfId="0" applyNumberFormat="1" applyFont="1" applyFill="1" applyBorder="1" applyAlignment="1" applyProtection="1">
      <alignment horizontal="left" vertical="center"/>
      <protection hidden="1"/>
    </xf>
    <xf numFmtId="0" fontId="8" fillId="2" borderId="48" xfId="0" applyFont="1" applyFill="1" applyBorder="1" applyAlignment="1" applyProtection="1">
      <alignment horizontal="right" vertical="center"/>
      <protection hidden="1"/>
    </xf>
    <xf numFmtId="0" fontId="8" fillId="2" borderId="49" xfId="0" applyFont="1" applyFill="1" applyBorder="1" applyAlignment="1" applyProtection="1">
      <alignment horizontal="right" vertical="center"/>
      <protection hidden="1"/>
    </xf>
    <xf numFmtId="0" fontId="27" fillId="2" borderId="48" xfId="0" applyFont="1" applyFill="1" applyBorder="1" applyAlignment="1" applyProtection="1">
      <alignment horizontal="right" vertical="center"/>
      <protection hidden="1"/>
    </xf>
    <xf numFmtId="0" fontId="27" fillId="2" borderId="52" xfId="0" applyFont="1" applyFill="1" applyBorder="1" applyAlignment="1" applyProtection="1">
      <alignment horizontal="right" vertical="center"/>
      <protection hidden="1"/>
    </xf>
    <xf numFmtId="0" fontId="27" fillId="2" borderId="49" xfId="0" applyFont="1" applyFill="1" applyBorder="1" applyAlignment="1" applyProtection="1">
      <alignment horizontal="right" vertical="center"/>
      <protection hidden="1"/>
    </xf>
    <xf numFmtId="10" fontId="8" fillId="6" borderId="48" xfId="1" applyNumberFormat="1" applyFont="1" applyFill="1" applyBorder="1" applyAlignment="1" applyProtection="1">
      <alignment horizontal="center" vertical="center"/>
      <protection hidden="1"/>
    </xf>
    <xf numFmtId="10" fontId="8" fillId="6" borderId="49" xfId="1" applyNumberFormat="1" applyFont="1" applyFill="1" applyBorder="1" applyAlignment="1" applyProtection="1">
      <alignment horizontal="center" vertical="center"/>
      <protection hidden="1"/>
    </xf>
    <xf numFmtId="0" fontId="10" fillId="6" borderId="53" xfId="0" applyFont="1" applyFill="1" applyBorder="1" applyAlignment="1" applyProtection="1">
      <alignment horizontal="center" vertical="center" wrapText="1"/>
      <protection hidden="1"/>
    </xf>
    <xf numFmtId="0" fontId="10" fillId="6" borderId="36" xfId="0" applyFont="1" applyFill="1" applyBorder="1" applyAlignment="1" applyProtection="1">
      <alignment horizontal="center" vertical="center" wrapText="1"/>
      <protection hidden="1"/>
    </xf>
    <xf numFmtId="0" fontId="10" fillId="6" borderId="54" xfId="0" applyFont="1" applyFill="1" applyBorder="1" applyAlignment="1" applyProtection="1">
      <alignment horizontal="center" vertical="center" wrapText="1"/>
      <protection hidden="1"/>
    </xf>
    <xf numFmtId="0" fontId="10" fillId="6" borderId="3" xfId="0" applyFont="1" applyFill="1" applyBorder="1" applyAlignment="1" applyProtection="1">
      <alignment horizontal="center" vertical="center" wrapText="1"/>
      <protection hidden="1"/>
    </xf>
    <xf numFmtId="0" fontId="10" fillId="6" borderId="0" xfId="0" applyFont="1" applyFill="1" applyBorder="1" applyAlignment="1" applyProtection="1">
      <alignment horizontal="center" vertical="center" wrapText="1"/>
      <protection hidden="1"/>
    </xf>
    <xf numFmtId="0" fontId="10" fillId="6" borderId="12" xfId="0" applyFont="1" applyFill="1" applyBorder="1" applyAlignment="1" applyProtection="1">
      <alignment horizontal="center" vertical="center" wrapText="1"/>
      <protection hidden="1"/>
    </xf>
    <xf numFmtId="0" fontId="10" fillId="6" borderId="55" xfId="0" applyFont="1" applyFill="1" applyBorder="1" applyAlignment="1" applyProtection="1">
      <alignment horizontal="center" vertical="center" wrapText="1"/>
      <protection hidden="1"/>
    </xf>
    <xf numFmtId="0" fontId="10" fillId="6" borderId="2" xfId="0" applyFont="1" applyFill="1" applyBorder="1" applyAlignment="1" applyProtection="1">
      <alignment horizontal="center" vertical="center" wrapText="1"/>
      <protection hidden="1"/>
    </xf>
    <xf numFmtId="0" fontId="10" fillId="6" borderId="56" xfId="0" applyFont="1" applyFill="1" applyBorder="1" applyAlignment="1" applyProtection="1">
      <alignment horizontal="center" vertical="center" wrapText="1"/>
      <protection hidden="1"/>
    </xf>
    <xf numFmtId="0" fontId="8" fillId="3" borderId="0" xfId="0" applyFont="1" applyFill="1" applyBorder="1" applyAlignment="1" applyProtection="1">
      <alignment horizontal="center" vertical="center" wrapText="1"/>
      <protection hidden="1"/>
    </xf>
    <xf numFmtId="0" fontId="7" fillId="6" borderId="11" xfId="0" applyFont="1" applyFill="1" applyBorder="1" applyAlignment="1" applyProtection="1">
      <alignment horizontal="right" vertical="center"/>
      <protection hidden="1"/>
    </xf>
    <xf numFmtId="0" fontId="7" fillId="6" borderId="59" xfId="0" applyFont="1" applyFill="1" applyBorder="1" applyAlignment="1" applyProtection="1">
      <alignment horizontal="left" vertical="center"/>
      <protection hidden="1"/>
    </xf>
    <xf numFmtId="0" fontId="7" fillId="6" borderId="60" xfId="0" applyFont="1" applyFill="1" applyBorder="1" applyAlignment="1" applyProtection="1">
      <alignment horizontal="left" vertical="center"/>
      <protection hidden="1"/>
    </xf>
    <xf numFmtId="0" fontId="7" fillId="6" borderId="61" xfId="0" applyFont="1" applyFill="1" applyBorder="1" applyAlignment="1" applyProtection="1">
      <alignment horizontal="left" vertical="center"/>
      <protection hidden="1"/>
    </xf>
    <xf numFmtId="0" fontId="7" fillId="6" borderId="62" xfId="0" applyFont="1" applyFill="1" applyBorder="1" applyAlignment="1" applyProtection="1">
      <alignment horizontal="left" vertical="center"/>
      <protection hidden="1"/>
    </xf>
    <xf numFmtId="0" fontId="61" fillId="4" borderId="57" xfId="0" applyNumberFormat="1" applyFont="1" applyFill="1" applyBorder="1" applyAlignment="1" applyProtection="1">
      <alignment horizontal="center" vertical="center"/>
      <protection locked="0" hidden="1"/>
    </xf>
    <xf numFmtId="0" fontId="61" fillId="4" borderId="58" xfId="0" applyNumberFormat="1" applyFont="1" applyFill="1" applyBorder="1" applyAlignment="1" applyProtection="1">
      <alignment horizontal="center" vertical="center"/>
      <protection locked="0" hidden="1"/>
    </xf>
    <xf numFmtId="0" fontId="27" fillId="6" borderId="48" xfId="0" applyNumberFormat="1" applyFont="1" applyFill="1" applyBorder="1" applyAlignment="1" applyProtection="1">
      <alignment horizontal="center" vertical="center"/>
      <protection hidden="1"/>
    </xf>
    <xf numFmtId="0" fontId="27" fillId="6" borderId="52" xfId="0" applyNumberFormat="1" applyFont="1" applyFill="1" applyBorder="1" applyAlignment="1" applyProtection="1">
      <alignment horizontal="center" vertical="center"/>
      <protection hidden="1"/>
    </xf>
    <xf numFmtId="0" fontId="27" fillId="6" borderId="49" xfId="0" applyNumberFormat="1" applyFont="1" applyFill="1" applyBorder="1" applyAlignment="1" applyProtection="1">
      <alignment horizontal="center" vertical="center"/>
      <protection hidden="1"/>
    </xf>
    <xf numFmtId="0" fontId="27" fillId="10" borderId="48" xfId="0" applyFont="1" applyFill="1" applyBorder="1" applyAlignment="1" applyProtection="1">
      <alignment horizontal="left" vertical="center"/>
      <protection hidden="1"/>
    </xf>
    <xf numFmtId="0" fontId="27" fillId="10" borderId="52" xfId="0" applyFont="1" applyFill="1" applyBorder="1" applyAlignment="1" applyProtection="1">
      <alignment horizontal="left" vertical="center"/>
      <protection hidden="1"/>
    </xf>
    <xf numFmtId="0" fontId="27" fillId="10" borderId="49" xfId="0" applyFont="1" applyFill="1" applyBorder="1" applyAlignment="1" applyProtection="1">
      <alignment horizontal="left" vertical="center"/>
      <protection hidden="1"/>
    </xf>
    <xf numFmtId="0" fontId="6" fillId="6" borderId="14" xfId="0" applyFont="1" applyFill="1" applyBorder="1" applyAlignment="1" applyProtection="1">
      <alignment horizontal="center" vertical="center"/>
      <protection hidden="1"/>
    </xf>
    <xf numFmtId="0" fontId="6" fillId="6" borderId="47" xfId="0" applyFont="1" applyFill="1" applyBorder="1" applyAlignment="1" applyProtection="1">
      <alignment horizontal="center" vertical="center"/>
      <protection hidden="1"/>
    </xf>
    <xf numFmtId="0" fontId="64" fillId="8" borderId="66" xfId="0" quotePrefix="1" applyFont="1" applyFill="1" applyBorder="1" applyAlignment="1" applyProtection="1">
      <alignment horizontal="center" vertical="center"/>
      <protection hidden="1"/>
    </xf>
    <xf numFmtId="0" fontId="7" fillId="2" borderId="67" xfId="0" applyFont="1" applyFill="1" applyBorder="1" applyAlignment="1" applyProtection="1">
      <alignment horizontal="justify" vertical="center" wrapText="1"/>
      <protection hidden="1"/>
    </xf>
    <xf numFmtId="0" fontId="7" fillId="2" borderId="68" xfId="0" applyFont="1" applyFill="1" applyBorder="1" applyAlignment="1" applyProtection="1">
      <alignment horizontal="justify" vertical="center" wrapText="1"/>
      <protection hidden="1"/>
    </xf>
    <xf numFmtId="0" fontId="7" fillId="2" borderId="69" xfId="0" applyFont="1" applyFill="1" applyBorder="1" applyAlignment="1" applyProtection="1">
      <alignment horizontal="justify" vertical="center" wrapText="1"/>
      <protection hidden="1"/>
    </xf>
    <xf numFmtId="0" fontId="7" fillId="2" borderId="70" xfId="0" applyFont="1" applyFill="1" applyBorder="1" applyAlignment="1" applyProtection="1">
      <alignment horizontal="justify" vertical="center" wrapText="1"/>
      <protection hidden="1"/>
    </xf>
    <xf numFmtId="0" fontId="7" fillId="2" borderId="24" xfId="0" applyFont="1" applyFill="1" applyBorder="1" applyAlignment="1" applyProtection="1">
      <alignment horizontal="justify" vertical="center" wrapText="1"/>
      <protection hidden="1"/>
    </xf>
    <xf numFmtId="0" fontId="7" fillId="2" borderId="71" xfId="0" applyFont="1" applyFill="1" applyBorder="1" applyAlignment="1" applyProtection="1">
      <alignment horizontal="justify" vertical="center" wrapText="1"/>
      <protection hidden="1"/>
    </xf>
    <xf numFmtId="0" fontId="7" fillId="2" borderId="6" xfId="0" applyFont="1" applyFill="1" applyBorder="1" applyAlignment="1" applyProtection="1">
      <alignment horizontal="justify" vertical="center" wrapText="1"/>
      <protection hidden="1"/>
    </xf>
    <xf numFmtId="0" fontId="7" fillId="2" borderId="72" xfId="0" applyFont="1" applyFill="1" applyBorder="1" applyAlignment="1" applyProtection="1">
      <alignment horizontal="justify" vertical="center" wrapText="1"/>
      <protection hidden="1"/>
    </xf>
    <xf numFmtId="0" fontId="7" fillId="6" borderId="13" xfId="0" applyFont="1" applyFill="1" applyBorder="1" applyAlignment="1" applyProtection="1">
      <alignment horizontal="left" vertical="center"/>
      <protection hidden="1"/>
    </xf>
    <xf numFmtId="49" fontId="7" fillId="3" borderId="13" xfId="0" applyNumberFormat="1" applyFont="1" applyFill="1" applyBorder="1" applyAlignment="1" applyProtection="1">
      <alignment horizontal="left" vertical="center"/>
      <protection hidden="1"/>
    </xf>
    <xf numFmtId="49" fontId="31" fillId="3" borderId="13" xfId="0" applyNumberFormat="1" applyFont="1" applyFill="1" applyBorder="1" applyAlignment="1" applyProtection="1">
      <alignment horizontal="left" vertical="center" wrapText="1"/>
      <protection hidden="1"/>
    </xf>
    <xf numFmtId="0" fontId="9" fillId="8" borderId="63" xfId="0" applyFont="1" applyFill="1" applyBorder="1" applyAlignment="1" applyProtection="1">
      <alignment horizontal="center"/>
      <protection hidden="1"/>
    </xf>
    <xf numFmtId="0" fontId="9" fillId="8" borderId="64" xfId="0" applyFont="1" applyFill="1" applyBorder="1" applyAlignment="1" applyProtection="1">
      <alignment horizontal="center"/>
      <protection hidden="1"/>
    </xf>
    <xf numFmtId="0" fontId="9" fillId="8" borderId="65" xfId="0" applyFont="1" applyFill="1" applyBorder="1" applyAlignment="1" applyProtection="1">
      <alignment horizontal="center"/>
      <protection hidden="1"/>
    </xf>
    <xf numFmtId="0" fontId="7" fillId="9" borderId="22" xfId="0" applyFont="1" applyFill="1" applyBorder="1" applyAlignment="1" applyProtection="1">
      <alignment horizontal="center" vertical="center"/>
      <protection hidden="1"/>
    </xf>
    <xf numFmtId="0" fontId="7" fillId="9" borderId="17" xfId="0" applyFont="1" applyFill="1" applyBorder="1" applyAlignment="1" applyProtection="1">
      <alignment horizontal="center" vertical="center"/>
      <protection hidden="1"/>
    </xf>
    <xf numFmtId="0" fontId="7" fillId="9" borderId="16" xfId="0" applyFont="1" applyFill="1" applyBorder="1" applyAlignment="1" applyProtection="1">
      <alignment horizontal="center" vertical="center"/>
      <protection hidden="1"/>
    </xf>
    <xf numFmtId="0" fontId="88" fillId="6" borderId="14" xfId="0" applyFont="1" applyFill="1" applyBorder="1" applyAlignment="1" applyProtection="1">
      <alignment horizontal="center"/>
      <protection hidden="1"/>
    </xf>
    <xf numFmtId="0" fontId="88" fillId="6" borderId="47" xfId="0" applyFont="1" applyFill="1" applyBorder="1" applyAlignment="1" applyProtection="1">
      <alignment horizontal="center"/>
      <protection hidden="1"/>
    </xf>
    <xf numFmtId="0" fontId="83" fillId="4" borderId="0" xfId="0" applyFont="1" applyFill="1" applyAlignment="1" applyProtection="1">
      <alignment horizontal="center" vertical="center"/>
      <protection hidden="1"/>
    </xf>
    <xf numFmtId="0" fontId="7" fillId="10" borderId="13" xfId="0" applyFont="1" applyFill="1" applyBorder="1" applyAlignment="1" applyProtection="1">
      <alignment horizontal="center" vertical="center"/>
      <protection hidden="1"/>
    </xf>
    <xf numFmtId="0" fontId="42" fillId="3" borderId="14" xfId="0" applyFont="1" applyFill="1" applyBorder="1" applyAlignment="1" applyProtection="1">
      <alignment horizontal="center" vertical="center"/>
      <protection hidden="1"/>
    </xf>
    <xf numFmtId="0" fontId="42" fillId="3" borderId="17" xfId="0" applyFont="1" applyFill="1" applyBorder="1" applyAlignment="1" applyProtection="1">
      <alignment horizontal="center" vertical="center"/>
      <protection hidden="1"/>
    </xf>
    <xf numFmtId="0" fontId="28" fillId="9" borderId="14" xfId="0" applyFont="1" applyFill="1" applyBorder="1" applyAlignment="1" applyProtection="1">
      <alignment horizontal="center" vertical="center" wrapText="1"/>
      <protection hidden="1"/>
    </xf>
    <xf numFmtId="0" fontId="28" fillId="9" borderId="17" xfId="0" applyFont="1" applyFill="1" applyBorder="1" applyAlignment="1" applyProtection="1">
      <alignment horizontal="center" vertical="center" wrapText="1"/>
      <protection hidden="1"/>
    </xf>
    <xf numFmtId="0" fontId="28" fillId="9" borderId="47" xfId="0" applyFont="1" applyFill="1" applyBorder="1" applyAlignment="1" applyProtection="1">
      <alignment horizontal="center" vertical="center" wrapText="1"/>
      <protection hidden="1"/>
    </xf>
    <xf numFmtId="0" fontId="7" fillId="6" borderId="14" xfId="0" applyFont="1" applyFill="1" applyBorder="1" applyAlignment="1" applyProtection="1">
      <alignment horizontal="right" vertical="center"/>
      <protection hidden="1"/>
    </xf>
    <xf numFmtId="0" fontId="7" fillId="6" borderId="17" xfId="0" applyFont="1" applyFill="1" applyBorder="1" applyAlignment="1" applyProtection="1">
      <alignment horizontal="right" vertical="center"/>
      <protection hidden="1"/>
    </xf>
    <xf numFmtId="0" fontId="7" fillId="6" borderId="47" xfId="0" applyFont="1" applyFill="1" applyBorder="1" applyAlignment="1" applyProtection="1">
      <alignment horizontal="right" vertical="center"/>
      <protection hidden="1"/>
    </xf>
    <xf numFmtId="0" fontId="71" fillId="2" borderId="67" xfId="0" applyFont="1" applyFill="1" applyBorder="1" applyAlignment="1" applyProtection="1">
      <alignment horizontal="center" vertical="center"/>
      <protection hidden="1"/>
    </xf>
    <xf numFmtId="0" fontId="71" fillId="2" borderId="69" xfId="0" applyFont="1" applyFill="1" applyBorder="1" applyAlignment="1" applyProtection="1">
      <alignment horizontal="center" vertical="center"/>
      <protection hidden="1"/>
    </xf>
    <xf numFmtId="0" fontId="64" fillId="8" borderId="66" xfId="0" applyFont="1" applyFill="1" applyBorder="1" applyAlignment="1" applyProtection="1">
      <alignment horizontal="center" vertical="center"/>
      <protection hidden="1"/>
    </xf>
    <xf numFmtId="0" fontId="73" fillId="6" borderId="8" xfId="0" applyFont="1" applyFill="1" applyBorder="1" applyAlignment="1" applyProtection="1">
      <alignment horizontal="center" vertical="center"/>
      <protection hidden="1"/>
    </xf>
    <xf numFmtId="49" fontId="53" fillId="4" borderId="57" xfId="0" applyNumberFormat="1" applyFont="1" applyFill="1" applyBorder="1" applyAlignment="1" applyProtection="1">
      <alignment horizontal="center" vertical="center"/>
      <protection locked="0" hidden="1"/>
    </xf>
    <xf numFmtId="49" fontId="53" fillId="4" borderId="58" xfId="0" applyNumberFormat="1" applyFont="1" applyFill="1" applyBorder="1" applyAlignment="1" applyProtection="1">
      <alignment horizontal="center" vertical="center"/>
      <protection locked="0" hidden="1"/>
    </xf>
    <xf numFmtId="0" fontId="7" fillId="6" borderId="13" xfId="0" applyFont="1" applyFill="1" applyBorder="1" applyAlignment="1" applyProtection="1">
      <alignment horizontal="right" vertical="center"/>
      <protection hidden="1"/>
    </xf>
    <xf numFmtId="0" fontId="17" fillId="8" borderId="22" xfId="0" applyFont="1" applyFill="1" applyBorder="1" applyAlignment="1" applyProtection="1">
      <alignment horizontal="center" vertical="center"/>
      <protection hidden="1"/>
    </xf>
    <xf numFmtId="0" fontId="10" fillId="10" borderId="57" xfId="0" applyFont="1" applyFill="1" applyBorder="1" applyAlignment="1" applyProtection="1">
      <alignment horizontal="center" vertical="center" wrapText="1"/>
      <protection hidden="1"/>
    </xf>
    <xf numFmtId="0" fontId="10" fillId="10" borderId="66" xfId="0" applyFont="1" applyFill="1" applyBorder="1" applyAlignment="1" applyProtection="1">
      <alignment horizontal="center" vertical="center" wrapText="1"/>
      <protection hidden="1"/>
    </xf>
    <xf numFmtId="0" fontId="10" fillId="10" borderId="58" xfId="0" applyFont="1" applyFill="1" applyBorder="1" applyAlignment="1" applyProtection="1">
      <alignment horizontal="center" vertical="center" wrapText="1"/>
      <protection hidden="1"/>
    </xf>
    <xf numFmtId="0" fontId="7" fillId="6" borderId="39" xfId="0" applyFont="1" applyFill="1" applyBorder="1" applyAlignment="1" applyProtection="1">
      <alignment horizontal="justify" vertical="center"/>
      <protection hidden="1"/>
    </xf>
    <xf numFmtId="0" fontId="7" fillId="6" borderId="50" xfId="0" applyFont="1" applyFill="1" applyBorder="1" applyAlignment="1" applyProtection="1">
      <alignment horizontal="justify" vertical="center"/>
      <protection hidden="1"/>
    </xf>
    <xf numFmtId="0" fontId="7" fillId="6" borderId="51" xfId="0" applyFont="1" applyFill="1" applyBorder="1" applyAlignment="1" applyProtection="1">
      <alignment horizontal="justify" vertical="center"/>
      <protection hidden="1"/>
    </xf>
    <xf numFmtId="0" fontId="39" fillId="6" borderId="39" xfId="0" applyFont="1" applyFill="1" applyBorder="1" applyAlignment="1" applyProtection="1">
      <alignment horizontal="justify" vertical="center"/>
      <protection hidden="1"/>
    </xf>
    <xf numFmtId="0" fontId="10" fillId="6" borderId="50" xfId="0" applyFont="1" applyFill="1" applyBorder="1" applyAlignment="1" applyProtection="1">
      <alignment horizontal="justify" vertical="center"/>
      <protection hidden="1"/>
    </xf>
    <xf numFmtId="0" fontId="10" fillId="6" borderId="51" xfId="0" applyFont="1" applyFill="1" applyBorder="1" applyAlignment="1" applyProtection="1">
      <alignment horizontal="justify" vertical="center"/>
      <protection hidden="1"/>
    </xf>
    <xf numFmtId="0" fontId="39" fillId="6" borderId="59" xfId="0" applyFont="1" applyFill="1" applyBorder="1" applyAlignment="1" applyProtection="1">
      <alignment horizontal="justify" vertical="center" wrapText="1"/>
      <protection hidden="1"/>
    </xf>
    <xf numFmtId="0" fontId="7" fillId="6" borderId="73" xfId="0" applyFont="1" applyFill="1" applyBorder="1" applyAlignment="1" applyProtection="1">
      <alignment horizontal="justify" vertical="center" wrapText="1"/>
      <protection hidden="1"/>
    </xf>
    <xf numFmtId="0" fontId="7" fillId="6" borderId="60" xfId="0" applyFont="1" applyFill="1" applyBorder="1" applyAlignment="1" applyProtection="1">
      <alignment horizontal="justify" vertical="center" wrapText="1"/>
      <protection hidden="1"/>
    </xf>
    <xf numFmtId="0" fontId="7" fillId="6" borderId="61" xfId="0" applyFont="1" applyFill="1" applyBorder="1" applyAlignment="1" applyProtection="1">
      <alignment horizontal="justify" vertical="center" wrapText="1"/>
      <protection hidden="1"/>
    </xf>
    <xf numFmtId="0" fontId="7" fillId="6" borderId="74" xfId="0" applyFont="1" applyFill="1" applyBorder="1" applyAlignment="1" applyProtection="1">
      <alignment horizontal="justify" vertical="center" wrapText="1"/>
      <protection hidden="1"/>
    </xf>
    <xf numFmtId="0" fontId="7" fillId="6" borderId="62" xfId="0" applyFont="1" applyFill="1" applyBorder="1" applyAlignment="1" applyProtection="1">
      <alignment horizontal="justify" vertical="center" wrapText="1"/>
      <protection hidden="1"/>
    </xf>
    <xf numFmtId="0" fontId="9" fillId="2" borderId="0" xfId="0" applyFont="1" applyFill="1" applyBorder="1" applyAlignment="1" applyProtection="1">
      <alignment horizontal="justify" vertical="center"/>
      <protection hidden="1"/>
    </xf>
    <xf numFmtId="0" fontId="7" fillId="6" borderId="59" xfId="0" applyFont="1" applyFill="1" applyBorder="1" applyAlignment="1" applyProtection="1">
      <alignment horizontal="justify" vertical="center" wrapText="1"/>
      <protection hidden="1"/>
    </xf>
    <xf numFmtId="0" fontId="7" fillId="6" borderId="76" xfId="0" applyFont="1" applyFill="1" applyBorder="1" applyAlignment="1" applyProtection="1">
      <alignment horizontal="justify" vertical="center" wrapText="1"/>
      <protection hidden="1"/>
    </xf>
    <xf numFmtId="0" fontId="7" fillId="6" borderId="0" xfId="0" applyFont="1" applyFill="1" applyBorder="1" applyAlignment="1" applyProtection="1">
      <alignment horizontal="justify" vertical="center" wrapText="1"/>
      <protection hidden="1"/>
    </xf>
    <xf numFmtId="0" fontId="7" fillId="6" borderId="77" xfId="0" applyFont="1" applyFill="1" applyBorder="1" applyAlignment="1" applyProtection="1">
      <alignment horizontal="justify" vertical="center" wrapText="1"/>
      <protection hidden="1"/>
    </xf>
    <xf numFmtId="0" fontId="69" fillId="6" borderId="8" xfId="0" applyFont="1" applyFill="1" applyBorder="1" applyAlignment="1" applyProtection="1">
      <alignment horizontal="center" vertical="center"/>
      <protection hidden="1"/>
    </xf>
    <xf numFmtId="0" fontId="69" fillId="6" borderId="75" xfId="0" applyFont="1" applyFill="1" applyBorder="1" applyAlignment="1" applyProtection="1">
      <alignment horizontal="center" vertical="center"/>
      <protection hidden="1"/>
    </xf>
    <xf numFmtId="0" fontId="7" fillId="6" borderId="25" xfId="0" applyFont="1" applyFill="1" applyBorder="1" applyAlignment="1" applyProtection="1">
      <alignment horizontal="justify" vertical="center" wrapText="1"/>
      <protection hidden="1"/>
    </xf>
    <xf numFmtId="0" fontId="7" fillId="6" borderId="30" xfId="0" applyFont="1" applyFill="1" applyBorder="1" applyAlignment="1" applyProtection="1">
      <alignment horizontal="justify" vertical="center" wrapText="1"/>
      <protection hidden="1"/>
    </xf>
    <xf numFmtId="0" fontId="7" fillId="6" borderId="80" xfId="0" applyFont="1" applyFill="1" applyBorder="1" applyAlignment="1" applyProtection="1">
      <alignment horizontal="justify" vertical="center" wrapText="1"/>
      <protection hidden="1"/>
    </xf>
    <xf numFmtId="0" fontId="7" fillId="6" borderId="23" xfId="0" applyFont="1" applyFill="1" applyBorder="1" applyAlignment="1" applyProtection="1">
      <alignment horizontal="justify" vertical="center" wrapText="1"/>
      <protection hidden="1"/>
    </xf>
    <xf numFmtId="0" fontId="7" fillId="6" borderId="16" xfId="0" applyFont="1" applyFill="1" applyBorder="1" applyAlignment="1" applyProtection="1">
      <alignment horizontal="justify" vertical="center" wrapText="1"/>
      <protection hidden="1"/>
    </xf>
    <xf numFmtId="0" fontId="7" fillId="6" borderId="82" xfId="0" applyFont="1" applyFill="1" applyBorder="1" applyAlignment="1" applyProtection="1">
      <alignment horizontal="justify" vertical="center" wrapText="1"/>
      <protection hidden="1"/>
    </xf>
    <xf numFmtId="0" fontId="9" fillId="2" borderId="67" xfId="0" applyFont="1" applyFill="1" applyBorder="1" applyAlignment="1" applyProtection="1">
      <alignment horizontal="justify" vertical="center" wrapText="1"/>
      <protection hidden="1"/>
    </xf>
    <xf numFmtId="0" fontId="9" fillId="2" borderId="68" xfId="0" applyFont="1" applyFill="1" applyBorder="1" applyAlignment="1" applyProtection="1">
      <alignment horizontal="justify" vertical="center" wrapText="1"/>
      <protection hidden="1"/>
    </xf>
    <xf numFmtId="0" fontId="9" fillId="2" borderId="69" xfId="0" applyFont="1" applyFill="1" applyBorder="1" applyAlignment="1" applyProtection="1">
      <alignment horizontal="justify" vertical="center" wrapText="1"/>
      <protection hidden="1"/>
    </xf>
    <xf numFmtId="0" fontId="9" fillId="2" borderId="70" xfId="0" applyFont="1" applyFill="1" applyBorder="1" applyAlignment="1" applyProtection="1">
      <alignment horizontal="justify" vertical="center" wrapText="1"/>
      <protection hidden="1"/>
    </xf>
    <xf numFmtId="0" fontId="9" fillId="2" borderId="24" xfId="0" applyFont="1" applyFill="1" applyBorder="1" applyAlignment="1" applyProtection="1">
      <alignment horizontal="justify" vertical="center" wrapText="1"/>
      <protection hidden="1"/>
    </xf>
    <xf numFmtId="0" fontId="9" fillId="2" borderId="71" xfId="0" applyFont="1" applyFill="1" applyBorder="1" applyAlignment="1" applyProtection="1">
      <alignment horizontal="justify" vertical="center" wrapText="1"/>
      <protection hidden="1"/>
    </xf>
    <xf numFmtId="0" fontId="9" fillId="2" borderId="6" xfId="0" applyFont="1" applyFill="1" applyBorder="1" applyAlignment="1" applyProtection="1">
      <alignment horizontal="justify" vertical="center" wrapText="1"/>
      <protection hidden="1"/>
    </xf>
    <xf numFmtId="0" fontId="9" fillId="2" borderId="72" xfId="0" applyFont="1" applyFill="1" applyBorder="1" applyAlignment="1" applyProtection="1">
      <alignment horizontal="justify" vertical="center" wrapText="1"/>
      <protection hidden="1"/>
    </xf>
    <xf numFmtId="0" fontId="39" fillId="6" borderId="39" xfId="0" applyFont="1" applyFill="1" applyBorder="1" applyAlignment="1" applyProtection="1">
      <alignment horizontal="left" vertical="center"/>
      <protection hidden="1"/>
    </xf>
    <xf numFmtId="0" fontId="7" fillId="6" borderId="50" xfId="0" applyFont="1" applyFill="1" applyBorder="1" applyAlignment="1" applyProtection="1">
      <alignment horizontal="left" vertical="center"/>
      <protection hidden="1"/>
    </xf>
    <xf numFmtId="0" fontId="7" fillId="6" borderId="51" xfId="0" applyFont="1" applyFill="1" applyBorder="1" applyAlignment="1" applyProtection="1">
      <alignment horizontal="left" vertical="center"/>
      <protection hidden="1"/>
    </xf>
    <xf numFmtId="0" fontId="7" fillId="6" borderId="66" xfId="0" applyFont="1" applyFill="1" applyBorder="1" applyAlignment="1" applyProtection="1">
      <alignment horizontal="left" vertical="center" wrapText="1"/>
      <protection hidden="1"/>
    </xf>
    <xf numFmtId="0" fontId="30" fillId="3" borderId="14" xfId="0" applyFont="1" applyFill="1" applyBorder="1" applyAlignment="1" applyProtection="1">
      <alignment horizontal="left" vertical="center" wrapText="1"/>
      <protection hidden="1"/>
    </xf>
    <xf numFmtId="0" fontId="31" fillId="3" borderId="17" xfId="0" applyFont="1" applyFill="1" applyBorder="1" applyAlignment="1" applyProtection="1">
      <alignment horizontal="left" vertical="center" wrapText="1"/>
      <protection hidden="1"/>
    </xf>
    <xf numFmtId="0" fontId="31" fillId="3" borderId="47" xfId="0" applyFont="1" applyFill="1" applyBorder="1" applyAlignment="1" applyProtection="1">
      <alignment horizontal="left" vertical="center" wrapText="1"/>
      <protection hidden="1"/>
    </xf>
    <xf numFmtId="0" fontId="7" fillId="6" borderId="66" xfId="0" applyFont="1" applyFill="1" applyBorder="1" applyAlignment="1" applyProtection="1">
      <alignment horizontal="justify" vertical="center" wrapText="1"/>
      <protection hidden="1"/>
    </xf>
    <xf numFmtId="0" fontId="9" fillId="8" borderId="0" xfId="0" applyFont="1" applyFill="1" applyBorder="1" applyAlignment="1" applyProtection="1">
      <alignment horizontal="center"/>
      <protection hidden="1"/>
    </xf>
    <xf numFmtId="0" fontId="9" fillId="8" borderId="15" xfId="0" applyFont="1" applyFill="1" applyBorder="1" applyAlignment="1" applyProtection="1">
      <alignment horizontal="center"/>
      <protection hidden="1"/>
    </xf>
    <xf numFmtId="0" fontId="13" fillId="2" borderId="0" xfId="0" applyFont="1" applyFill="1" applyAlignment="1" applyProtection="1">
      <alignment horizontal="center" vertical="center"/>
      <protection hidden="1"/>
    </xf>
    <xf numFmtId="0" fontId="9" fillId="2" borderId="33" xfId="0" applyFont="1" applyFill="1" applyBorder="1" applyAlignment="1" applyProtection="1">
      <alignment horizontal="justify" vertical="center" wrapText="1"/>
      <protection hidden="1"/>
    </xf>
    <xf numFmtId="0" fontId="9" fillId="2" borderId="34" xfId="0" applyFont="1" applyFill="1" applyBorder="1" applyAlignment="1" applyProtection="1">
      <alignment horizontal="justify" vertical="center" wrapText="1"/>
      <protection hidden="1"/>
    </xf>
    <xf numFmtId="0" fontId="9" fillId="2" borderId="78" xfId="0" applyFont="1" applyFill="1" applyBorder="1" applyAlignment="1" applyProtection="1">
      <alignment horizontal="justify" vertical="center" wrapText="1"/>
      <protection hidden="1"/>
    </xf>
    <xf numFmtId="0" fontId="48" fillId="6" borderId="4" xfId="0" applyFont="1" applyFill="1" applyBorder="1" applyAlignment="1" applyProtection="1">
      <alignment horizontal="center" vertical="center"/>
      <protection hidden="1"/>
    </xf>
    <xf numFmtId="0" fontId="43" fillId="6" borderId="8" xfId="0" applyFont="1" applyFill="1" applyBorder="1" applyAlignment="1" applyProtection="1">
      <alignment horizontal="center" vertical="center"/>
      <protection hidden="1"/>
    </xf>
    <xf numFmtId="0" fontId="43" fillId="6" borderId="9" xfId="0" applyFont="1" applyFill="1" applyBorder="1" applyAlignment="1" applyProtection="1">
      <alignment horizontal="center" vertical="center"/>
      <protection hidden="1"/>
    </xf>
    <xf numFmtId="0" fontId="48" fillId="6" borderId="4" xfId="0" applyFont="1" applyFill="1" applyBorder="1" applyAlignment="1" applyProtection="1">
      <alignment horizontal="center"/>
      <protection hidden="1"/>
    </xf>
    <xf numFmtId="0" fontId="43" fillId="6" borderId="8" xfId="0" applyFont="1" applyFill="1" applyBorder="1" applyAlignment="1" applyProtection="1">
      <alignment horizontal="center"/>
      <protection hidden="1"/>
    </xf>
    <xf numFmtId="0" fontId="43" fillId="6" borderId="9" xfId="0" applyFont="1" applyFill="1" applyBorder="1" applyAlignment="1" applyProtection="1">
      <alignment horizontal="center"/>
      <protection hidden="1"/>
    </xf>
    <xf numFmtId="0" fontId="162" fillId="2" borderId="0" xfId="0" applyFont="1" applyFill="1" applyAlignment="1" applyProtection="1">
      <alignment horizontal="right" vertical="center"/>
      <protection hidden="1"/>
    </xf>
    <xf numFmtId="0" fontId="64" fillId="8" borderId="0" xfId="0" quotePrefix="1" applyFont="1" applyFill="1" applyBorder="1" applyAlignment="1" applyProtection="1">
      <alignment horizontal="center" vertical="center"/>
      <protection hidden="1"/>
    </xf>
    <xf numFmtId="0" fontId="33" fillId="2" borderId="0" xfId="0" applyFont="1" applyFill="1" applyBorder="1" applyAlignment="1" applyProtection="1">
      <alignment horizontal="justify" vertical="center" wrapText="1"/>
      <protection hidden="1"/>
    </xf>
    <xf numFmtId="0" fontId="34" fillId="2" borderId="0" xfId="0" applyFont="1" applyFill="1" applyBorder="1" applyAlignment="1" applyProtection="1">
      <alignment horizontal="justify" vertical="center" wrapText="1"/>
      <protection hidden="1"/>
    </xf>
    <xf numFmtId="0" fontId="10" fillId="2" borderId="29" xfId="0" applyFont="1" applyFill="1" applyBorder="1" applyAlignment="1" applyProtection="1">
      <alignment horizontal="center"/>
      <protection hidden="1"/>
    </xf>
    <xf numFmtId="0" fontId="7" fillId="2" borderId="21" xfId="0" applyFont="1" applyFill="1" applyBorder="1" applyAlignment="1" applyProtection="1">
      <alignment horizontal="right" vertical="center"/>
      <protection hidden="1"/>
    </xf>
    <xf numFmtId="0" fontId="7" fillId="2" borderId="0" xfId="0" applyFont="1" applyFill="1" applyBorder="1" applyAlignment="1" applyProtection="1">
      <alignment horizontal="center"/>
      <protection hidden="1"/>
    </xf>
    <xf numFmtId="0" fontId="28" fillId="9" borderId="13" xfId="0" applyFont="1" applyFill="1" applyBorder="1" applyAlignment="1" applyProtection="1">
      <alignment horizontal="center" vertical="center" wrapText="1"/>
      <protection hidden="1"/>
    </xf>
    <xf numFmtId="0" fontId="7" fillId="6" borderId="13" xfId="0" applyFont="1" applyFill="1" applyBorder="1" applyAlignment="1" applyProtection="1">
      <alignment horizontal="right" vertical="center" wrapText="1"/>
      <protection hidden="1"/>
    </xf>
    <xf numFmtId="0" fontId="39" fillId="6" borderId="13" xfId="0" applyFont="1" applyFill="1" applyBorder="1" applyAlignment="1" applyProtection="1">
      <alignment horizontal="center" vertical="center"/>
      <protection hidden="1"/>
    </xf>
    <xf numFmtId="49" fontId="78" fillId="4" borderId="13" xfId="0" applyNumberFormat="1" applyFont="1" applyFill="1" applyBorder="1" applyAlignment="1" applyProtection="1">
      <alignment horizontal="center" vertical="center"/>
      <protection locked="0" hidden="1"/>
    </xf>
    <xf numFmtId="0" fontId="9" fillId="8" borderId="79" xfId="0" applyFont="1" applyFill="1" applyBorder="1" applyAlignment="1" applyProtection="1">
      <alignment horizontal="center"/>
      <protection hidden="1"/>
    </xf>
    <xf numFmtId="0" fontId="64" fillId="8" borderId="79" xfId="0" quotePrefix="1" applyFont="1" applyFill="1" applyBorder="1" applyAlignment="1" applyProtection="1">
      <alignment horizontal="center" vertical="top"/>
      <protection hidden="1"/>
    </xf>
    <xf numFmtId="0" fontId="64" fillId="8" borderId="79" xfId="0" applyFont="1" applyFill="1" applyBorder="1" applyAlignment="1" applyProtection="1">
      <alignment horizontal="center" vertical="top"/>
      <protection hidden="1"/>
    </xf>
    <xf numFmtId="0" fontId="91" fillId="8" borderId="79" xfId="0" applyFont="1" applyFill="1" applyBorder="1" applyAlignment="1" applyProtection="1">
      <alignment horizontal="center" vertical="top"/>
      <protection hidden="1"/>
    </xf>
    <xf numFmtId="0" fontId="42" fillId="3" borderId="13" xfId="0" applyFont="1" applyFill="1" applyBorder="1" applyAlignment="1" applyProtection="1">
      <alignment horizontal="center" vertical="center"/>
      <protection hidden="1"/>
    </xf>
    <xf numFmtId="49" fontId="53" fillId="4" borderId="13" xfId="0" applyNumberFormat="1" applyFont="1" applyFill="1" applyBorder="1" applyAlignment="1" applyProtection="1">
      <alignment horizontal="center" vertical="center"/>
      <protection locked="0" hidden="1"/>
    </xf>
    <xf numFmtId="0" fontId="7" fillId="6" borderId="13" xfId="0" applyFont="1" applyFill="1" applyBorder="1" applyAlignment="1" applyProtection="1">
      <alignment horizontal="justify" vertical="center"/>
      <protection hidden="1"/>
    </xf>
    <xf numFmtId="0" fontId="7" fillId="3" borderId="13" xfId="0" applyFont="1" applyFill="1" applyBorder="1" applyAlignment="1" applyProtection="1">
      <alignment horizontal="center" vertical="center" wrapText="1"/>
      <protection hidden="1"/>
    </xf>
    <xf numFmtId="0" fontId="53" fillId="4" borderId="14" xfId="0" applyFont="1" applyFill="1" applyBorder="1" applyAlignment="1" applyProtection="1">
      <alignment horizontal="center" vertical="center"/>
      <protection locked="0" hidden="1"/>
    </xf>
    <xf numFmtId="0" fontId="7" fillId="2" borderId="0" xfId="0" applyFont="1" applyFill="1" applyBorder="1" applyAlignment="1" applyProtection="1">
      <alignment horizontal="left" vertical="center" wrapText="1"/>
      <protection hidden="1"/>
    </xf>
    <xf numFmtId="10" fontId="61" fillId="4" borderId="13" xfId="1" applyNumberFormat="1" applyFont="1" applyFill="1" applyBorder="1" applyAlignment="1" applyProtection="1">
      <alignment horizontal="center" vertical="center"/>
      <protection locked="0" hidden="1"/>
    </xf>
    <xf numFmtId="0" fontId="92" fillId="6" borderId="8" xfId="0" applyFont="1" applyFill="1" applyBorder="1" applyAlignment="1" applyProtection="1">
      <alignment horizontal="center"/>
      <protection hidden="1"/>
    </xf>
    <xf numFmtId="0" fontId="94" fillId="9" borderId="13" xfId="0" applyFont="1" applyFill="1" applyBorder="1" applyAlignment="1" applyProtection="1">
      <alignment horizontal="center" vertical="center" wrapText="1"/>
      <protection hidden="1"/>
    </xf>
    <xf numFmtId="0" fontId="94" fillId="9" borderId="13" xfId="0" applyFont="1" applyFill="1" applyBorder="1" applyAlignment="1" applyProtection="1">
      <alignment horizontal="center" vertical="center"/>
      <protection hidden="1"/>
    </xf>
    <xf numFmtId="49" fontId="57" fillId="4" borderId="13" xfId="0" applyNumberFormat="1" applyFont="1" applyFill="1" applyBorder="1" applyAlignment="1" applyProtection="1">
      <alignment horizontal="center"/>
      <protection locked="0" hidden="1"/>
    </xf>
    <xf numFmtId="0" fontId="7" fillId="6" borderId="22" xfId="0" applyFont="1" applyFill="1" applyBorder="1" applyAlignment="1" applyProtection="1">
      <alignment horizontal="justify" vertical="center" wrapText="1"/>
      <protection hidden="1"/>
    </xf>
    <xf numFmtId="0" fontId="7" fillId="6" borderId="81" xfId="0" applyFont="1" applyFill="1" applyBorder="1" applyAlignment="1" applyProtection="1">
      <alignment horizontal="justify" vertical="center" wrapText="1"/>
      <protection hidden="1"/>
    </xf>
    <xf numFmtId="0" fontId="65" fillId="10" borderId="13" xfId="0" applyFont="1" applyFill="1" applyBorder="1" applyAlignment="1" applyProtection="1">
      <alignment horizontal="center" vertical="center" wrapText="1"/>
      <protection hidden="1"/>
    </xf>
    <xf numFmtId="0" fontId="88" fillId="6" borderId="13" xfId="0" applyFont="1" applyFill="1" applyBorder="1" applyAlignment="1" applyProtection="1">
      <alignment horizontal="center" vertical="center"/>
      <protection hidden="1"/>
    </xf>
    <xf numFmtId="0" fontId="68" fillId="2" borderId="0" xfId="0" applyFont="1" applyFill="1" applyBorder="1" applyAlignment="1" applyProtection="1">
      <alignment horizontal="right" vertical="top"/>
      <protection hidden="1"/>
    </xf>
    <xf numFmtId="0" fontId="107" fillId="2" borderId="0" xfId="0" applyFont="1" applyFill="1" applyAlignment="1" applyProtection="1">
      <alignment horizontal="justify" vertical="center"/>
      <protection hidden="1"/>
    </xf>
    <xf numFmtId="0" fontId="177" fillId="2" borderId="0" xfId="0" applyFont="1" applyFill="1" applyBorder="1" applyAlignment="1" applyProtection="1">
      <alignment horizontal="center" vertical="center"/>
      <protection hidden="1"/>
    </xf>
    <xf numFmtId="0" fontId="7" fillId="2" borderId="0" xfId="0" applyFont="1" applyFill="1" applyBorder="1" applyAlignment="1" applyProtection="1">
      <alignment horizontal="center" vertical="center"/>
      <protection hidden="1"/>
    </xf>
    <xf numFmtId="0" fontId="18" fillId="2" borderId="0" xfId="0" quotePrefix="1" applyFont="1" applyFill="1" applyBorder="1" applyAlignment="1" applyProtection="1">
      <alignment horizontal="center" vertical="top"/>
      <protection hidden="1"/>
    </xf>
    <xf numFmtId="0" fontId="18" fillId="2" borderId="0" xfId="0" applyFont="1" applyFill="1" applyBorder="1" applyAlignment="1" applyProtection="1">
      <alignment horizontal="center" vertical="top"/>
      <protection hidden="1"/>
    </xf>
    <xf numFmtId="0" fontId="171" fillId="2" borderId="0" xfId="0" applyFont="1" applyFill="1" applyAlignment="1" applyProtection="1">
      <alignment horizontal="justify" vertical="center" wrapText="1"/>
      <protection hidden="1"/>
    </xf>
    <xf numFmtId="0" fontId="80" fillId="2" borderId="0" xfId="0" applyFont="1" applyFill="1" applyAlignment="1" applyProtection="1">
      <alignment horizontal="justify" vertical="center" wrapText="1"/>
      <protection hidden="1"/>
    </xf>
    <xf numFmtId="0" fontId="8" fillId="2" borderId="0" xfId="0" applyFont="1" applyFill="1" applyAlignment="1" applyProtection="1">
      <alignment horizontal="center"/>
      <protection hidden="1"/>
    </xf>
    <xf numFmtId="0" fontId="8" fillId="2" borderId="0" xfId="0" applyFont="1" applyFill="1" applyAlignment="1" applyProtection="1">
      <alignment horizontal="left" vertical="center"/>
      <protection hidden="1"/>
    </xf>
    <xf numFmtId="0" fontId="9" fillId="2" borderId="0" xfId="0" applyFont="1" applyFill="1" applyAlignment="1" applyProtection="1">
      <alignment horizontal="center"/>
      <protection hidden="1"/>
    </xf>
    <xf numFmtId="0" fontId="94" fillId="2" borderId="0" xfId="0" applyFont="1" applyFill="1" applyAlignment="1" applyProtection="1">
      <alignment horizontal="right" vertical="center"/>
      <protection hidden="1"/>
    </xf>
    <xf numFmtId="0" fontId="183" fillId="2" borderId="0" xfId="0" applyFont="1" applyFill="1" applyAlignment="1" applyProtection="1">
      <alignment horizontal="center" vertical="top"/>
      <protection hidden="1"/>
    </xf>
    <xf numFmtId="0" fontId="172" fillId="2" borderId="0" xfId="0" applyFont="1" applyFill="1" applyAlignment="1" applyProtection="1">
      <alignment horizontal="justify" vertical="center"/>
      <protection hidden="1"/>
    </xf>
    <xf numFmtId="0" fontId="174" fillId="2" borderId="0" xfId="0" applyFont="1" applyFill="1" applyAlignment="1" applyProtection="1">
      <alignment horizontal="right" vertical="center"/>
      <protection hidden="1"/>
    </xf>
    <xf numFmtId="0" fontId="86" fillId="2" borderId="0" xfId="0" applyFont="1" applyFill="1" applyAlignment="1" applyProtection="1">
      <alignment horizontal="center" vertical="center"/>
      <protection hidden="1"/>
    </xf>
    <xf numFmtId="0" fontId="40" fillId="2" borderId="0" xfId="0" applyFont="1" applyFill="1" applyAlignment="1" applyProtection="1">
      <alignment horizontal="justify" vertical="center" wrapText="1"/>
      <protection hidden="1"/>
    </xf>
    <xf numFmtId="0" fontId="94" fillId="2" borderId="0" xfId="0" applyFont="1" applyFill="1" applyAlignment="1" applyProtection="1">
      <alignment horizontal="center" vertical="center"/>
      <protection hidden="1"/>
    </xf>
    <xf numFmtId="0" fontId="9" fillId="2" borderId="0" xfId="0" applyFont="1" applyFill="1" applyAlignment="1" applyProtection="1">
      <alignment horizontal="right" vertical="center"/>
      <protection hidden="1"/>
    </xf>
    <xf numFmtId="0" fontId="149" fillId="2" borderId="0" xfId="0" applyFont="1" applyFill="1" applyAlignment="1" applyProtection="1">
      <alignment horizontal="right" vertical="center"/>
      <protection hidden="1"/>
    </xf>
    <xf numFmtId="0" fontId="149" fillId="2" borderId="0" xfId="0" applyFont="1" applyFill="1" applyAlignment="1" applyProtection="1">
      <alignment horizontal="justify" vertical="center"/>
      <protection hidden="1"/>
    </xf>
    <xf numFmtId="0" fontId="54" fillId="3" borderId="2" xfId="0" applyFont="1" applyFill="1" applyBorder="1" applyAlignment="1" applyProtection="1">
      <alignment horizontal="right" vertical="center" wrapText="1"/>
      <protection hidden="1"/>
    </xf>
    <xf numFmtId="13" fontId="53" fillId="4" borderId="57" xfId="0" applyNumberFormat="1" applyFont="1" applyFill="1" applyBorder="1" applyAlignment="1" applyProtection="1">
      <alignment horizontal="center" vertical="center"/>
      <protection locked="0" hidden="1"/>
    </xf>
    <xf numFmtId="13" fontId="53" fillId="4" borderId="58" xfId="0" applyNumberFormat="1" applyFont="1" applyFill="1" applyBorder="1" applyAlignment="1" applyProtection="1">
      <alignment horizontal="center" vertical="center"/>
      <protection locked="0" hidden="1"/>
    </xf>
    <xf numFmtId="0" fontId="166" fillId="2" borderId="0" xfId="0" applyFont="1" applyFill="1" applyAlignment="1" applyProtection="1">
      <alignment horizontal="right" vertical="center"/>
      <protection hidden="1"/>
    </xf>
    <xf numFmtId="0" fontId="101" fillId="2" borderId="0" xfId="0" applyFont="1" applyFill="1" applyAlignment="1" applyProtection="1">
      <alignment horizontal="justify" vertical="center"/>
      <protection hidden="1"/>
    </xf>
    <xf numFmtId="0" fontId="90" fillId="2" borderId="0" xfId="0" quotePrefix="1" applyFont="1" applyFill="1" applyAlignment="1" applyProtection="1">
      <alignment horizontal="center" vertical="center"/>
      <protection hidden="1"/>
    </xf>
    <xf numFmtId="0" fontId="90" fillId="2" borderId="0" xfId="0" applyFont="1" applyFill="1" applyAlignment="1" applyProtection="1">
      <alignment horizontal="center" vertical="center"/>
      <protection hidden="1"/>
    </xf>
    <xf numFmtId="0" fontId="80" fillId="2" borderId="0" xfId="0" applyFont="1" applyFill="1" applyAlignment="1" applyProtection="1">
      <alignment horizontal="justify" vertical="center"/>
      <protection hidden="1"/>
    </xf>
    <xf numFmtId="0" fontId="80" fillId="2" borderId="0" xfId="0" applyFont="1" applyFill="1" applyAlignment="1" applyProtection="1">
      <alignment horizontal="justify" vertical="top"/>
      <protection hidden="1"/>
    </xf>
    <xf numFmtId="0" fontId="97" fillId="2" borderId="0" xfId="0" applyFont="1" applyFill="1" applyAlignment="1" applyProtection="1">
      <alignment horizontal="left" vertical="center" wrapText="1"/>
      <protection hidden="1"/>
    </xf>
    <xf numFmtId="0" fontId="189" fillId="2" borderId="0" xfId="0" applyFont="1" applyFill="1" applyAlignment="1" applyProtection="1">
      <alignment horizontal="left" vertical="center" wrapText="1"/>
      <protection hidden="1"/>
    </xf>
    <xf numFmtId="0" fontId="190" fillId="2" borderId="0" xfId="0" applyFont="1" applyFill="1" applyProtection="1">
      <protection hidden="1"/>
    </xf>
    <xf numFmtId="0" fontId="192" fillId="2" borderId="0" xfId="0" applyFont="1" applyFill="1" applyAlignment="1" applyProtection="1">
      <alignment horizontal="justify" vertical="center" wrapText="1"/>
      <protection hidden="1"/>
    </xf>
    <xf numFmtId="0" fontId="186" fillId="2" borderId="0" xfId="0" applyFont="1" applyFill="1" applyProtection="1">
      <protection hidden="1"/>
    </xf>
  </cellXfs>
  <cellStyles count="3">
    <cellStyle name="Κανονικό" xfId="0" builtinId="0"/>
    <cellStyle name="Ποσοστό" xfId="1" builtinId="5"/>
    <cellStyle name="Υπερ-σύνδεση" xfId="2" builtinId="8"/>
  </cellStyles>
  <dxfs count="0"/>
  <tableStyles count="0" defaultTableStyle="TableStyleMedium9" defaultPivotStyle="PivotStyleLight16"/>
  <colors>
    <mruColors>
      <color rgb="FFFF9900"/>
      <color rgb="FFFFFF99"/>
      <color rgb="FF00FF00"/>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7</xdr:col>
      <xdr:colOff>68580</xdr:colOff>
      <xdr:row>536</xdr:row>
      <xdr:rowOff>53340</xdr:rowOff>
    </xdr:from>
    <xdr:to>
      <xdr:col>8</xdr:col>
      <xdr:colOff>411480</xdr:colOff>
      <xdr:row>537</xdr:row>
      <xdr:rowOff>144780</xdr:rowOff>
    </xdr:to>
    <xdr:sp macro="" textlink="">
      <xdr:nvSpPr>
        <xdr:cNvPr id="182" name="181 - TextBox"/>
        <xdr:cNvSpPr txBox="1"/>
      </xdr:nvSpPr>
      <xdr:spPr>
        <a:xfrm>
          <a:off x="4511040" y="95730060"/>
          <a:ext cx="967740" cy="266700"/>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καμπύλη 2</a:t>
          </a:r>
          <a:r>
            <a:rPr lang="el-GR" sz="1000">
              <a:solidFill>
                <a:srgbClr val="FF0000"/>
              </a:solidFill>
              <a:latin typeface="Arial" pitchFamily="34" charset="0"/>
              <a:cs typeface="Arial" pitchFamily="34" charset="0"/>
              <a:sym typeface="Wingdings 2"/>
            </a:rPr>
            <a:t></a:t>
          </a:r>
          <a:endParaRPr lang="el-GR" sz="1000">
            <a:solidFill>
              <a:srgbClr val="FF0000"/>
            </a:solidFill>
            <a:latin typeface="Arial" pitchFamily="34" charset="0"/>
            <a:cs typeface="Arial" pitchFamily="34" charset="0"/>
          </a:endParaRPr>
        </a:p>
      </xdr:txBody>
    </xdr:sp>
    <xdr:clientData/>
  </xdr:twoCellAnchor>
  <xdr:twoCellAnchor>
    <xdr:from>
      <xdr:col>7</xdr:col>
      <xdr:colOff>114300</xdr:colOff>
      <xdr:row>532</xdr:row>
      <xdr:rowOff>60960</xdr:rowOff>
    </xdr:from>
    <xdr:to>
      <xdr:col>8</xdr:col>
      <xdr:colOff>312420</xdr:colOff>
      <xdr:row>533</xdr:row>
      <xdr:rowOff>152400</xdr:rowOff>
    </xdr:to>
    <xdr:sp macro="" textlink="">
      <xdr:nvSpPr>
        <xdr:cNvPr id="181" name="180 - TextBox"/>
        <xdr:cNvSpPr txBox="1"/>
      </xdr:nvSpPr>
      <xdr:spPr>
        <a:xfrm>
          <a:off x="4556760" y="95036640"/>
          <a:ext cx="822960" cy="266700"/>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l-GR" sz="1000">
              <a:solidFill>
                <a:srgbClr val="FFFF99"/>
              </a:solidFill>
              <a:latin typeface="Arial" pitchFamily="34" charset="0"/>
              <a:cs typeface="Arial" pitchFamily="34" charset="0"/>
            </a:rPr>
            <a:t>καμπύλη 1</a:t>
          </a:r>
        </a:p>
      </xdr:txBody>
    </xdr:sp>
    <xdr:clientData/>
  </xdr:twoCellAnchor>
  <xdr:twoCellAnchor>
    <xdr:from>
      <xdr:col>15</xdr:col>
      <xdr:colOff>228601</xdr:colOff>
      <xdr:row>212</xdr:row>
      <xdr:rowOff>76201</xdr:rowOff>
    </xdr:from>
    <xdr:to>
      <xdr:col>15</xdr:col>
      <xdr:colOff>533401</xdr:colOff>
      <xdr:row>214</xdr:row>
      <xdr:rowOff>38101</xdr:rowOff>
    </xdr:to>
    <xdr:sp macro="" textlink="">
      <xdr:nvSpPr>
        <xdr:cNvPr id="179" name="178 - TextBox"/>
        <xdr:cNvSpPr txBox="1"/>
      </xdr:nvSpPr>
      <xdr:spPr>
        <a:xfrm>
          <a:off x="8991601" y="36099751"/>
          <a:ext cx="304800" cy="2857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600">
              <a:solidFill>
                <a:srgbClr val="00FF00"/>
              </a:solidFill>
              <a:latin typeface="Wingdings 2" pitchFamily="18" charset="2"/>
              <a:cs typeface="Arial" pitchFamily="34" charset="0"/>
            </a:rPr>
            <a:t>Þ</a:t>
          </a:r>
          <a:endParaRPr lang="el-GR" sz="1600">
            <a:solidFill>
              <a:srgbClr val="00FF00"/>
            </a:solidFill>
            <a:latin typeface="Arial" pitchFamily="34" charset="0"/>
            <a:cs typeface="Arial" pitchFamily="34" charset="0"/>
          </a:endParaRPr>
        </a:p>
      </xdr:txBody>
    </xdr:sp>
    <xdr:clientData/>
  </xdr:twoCellAnchor>
  <xdr:twoCellAnchor>
    <xdr:from>
      <xdr:col>1</xdr:col>
      <xdr:colOff>438150</xdr:colOff>
      <xdr:row>165</xdr:row>
      <xdr:rowOff>85725</xdr:rowOff>
    </xdr:from>
    <xdr:to>
      <xdr:col>2</xdr:col>
      <xdr:colOff>104775</xdr:colOff>
      <xdr:row>165</xdr:row>
      <xdr:rowOff>85725</xdr:rowOff>
    </xdr:to>
    <xdr:sp macro="" textlink="">
      <xdr:nvSpPr>
        <xdr:cNvPr id="1025" name="Line 1"/>
        <xdr:cNvSpPr>
          <a:spLocks noChangeShapeType="1"/>
        </xdr:cNvSpPr>
      </xdr:nvSpPr>
      <xdr:spPr bwMode="auto">
        <a:xfrm flipH="1">
          <a:off x="1047750" y="28098750"/>
          <a:ext cx="276225" cy="0"/>
        </a:xfrm>
        <a:prstGeom prst="line">
          <a:avLst/>
        </a:prstGeom>
        <a:noFill/>
        <a:ln w="9525">
          <a:solidFill>
            <a:srgbClr val="FFCC00"/>
          </a:solidFill>
          <a:round/>
          <a:headEnd/>
          <a:tailEnd type="triangle" w="med" len="med"/>
        </a:ln>
      </xdr:spPr>
    </xdr:sp>
    <xdr:clientData/>
  </xdr:twoCellAnchor>
  <xdr:twoCellAnchor>
    <xdr:from>
      <xdr:col>1</xdr:col>
      <xdr:colOff>428625</xdr:colOff>
      <xdr:row>168</xdr:row>
      <xdr:rowOff>85725</xdr:rowOff>
    </xdr:from>
    <xdr:to>
      <xdr:col>2</xdr:col>
      <xdr:colOff>104775</xdr:colOff>
      <xdr:row>168</xdr:row>
      <xdr:rowOff>85725</xdr:rowOff>
    </xdr:to>
    <xdr:sp macro="" textlink="">
      <xdr:nvSpPr>
        <xdr:cNvPr id="1026" name="Line 2"/>
        <xdr:cNvSpPr>
          <a:spLocks noChangeShapeType="1"/>
        </xdr:cNvSpPr>
      </xdr:nvSpPr>
      <xdr:spPr bwMode="auto">
        <a:xfrm flipH="1">
          <a:off x="1038225" y="28613100"/>
          <a:ext cx="285750" cy="0"/>
        </a:xfrm>
        <a:prstGeom prst="line">
          <a:avLst/>
        </a:prstGeom>
        <a:noFill/>
        <a:ln w="9525">
          <a:solidFill>
            <a:srgbClr val="FFCC00"/>
          </a:solidFill>
          <a:round/>
          <a:headEnd/>
          <a:tailEnd type="triangle" w="med" len="med"/>
        </a:ln>
      </xdr:spPr>
    </xdr:sp>
    <xdr:clientData/>
  </xdr:twoCellAnchor>
  <xdr:twoCellAnchor>
    <xdr:from>
      <xdr:col>1</xdr:col>
      <xdr:colOff>419100</xdr:colOff>
      <xdr:row>183</xdr:row>
      <xdr:rowOff>85725</xdr:rowOff>
    </xdr:from>
    <xdr:to>
      <xdr:col>2</xdr:col>
      <xdr:colOff>85725</xdr:colOff>
      <xdr:row>183</xdr:row>
      <xdr:rowOff>85725</xdr:rowOff>
    </xdr:to>
    <xdr:sp macro="" textlink="">
      <xdr:nvSpPr>
        <xdr:cNvPr id="1027" name="Line 3"/>
        <xdr:cNvSpPr>
          <a:spLocks noChangeShapeType="1"/>
        </xdr:cNvSpPr>
      </xdr:nvSpPr>
      <xdr:spPr bwMode="auto">
        <a:xfrm flipH="1">
          <a:off x="1028700" y="31080075"/>
          <a:ext cx="276225" cy="0"/>
        </a:xfrm>
        <a:prstGeom prst="line">
          <a:avLst/>
        </a:prstGeom>
        <a:noFill/>
        <a:ln w="9525">
          <a:solidFill>
            <a:srgbClr val="FFCC00"/>
          </a:solidFill>
          <a:round/>
          <a:headEnd/>
          <a:tailEnd type="triangle" w="med" len="med"/>
        </a:ln>
      </xdr:spPr>
    </xdr:sp>
    <xdr:clientData/>
  </xdr:twoCellAnchor>
  <xdr:twoCellAnchor>
    <xdr:from>
      <xdr:col>1</xdr:col>
      <xdr:colOff>409575</xdr:colOff>
      <xdr:row>186</xdr:row>
      <xdr:rowOff>83820</xdr:rowOff>
    </xdr:from>
    <xdr:to>
      <xdr:col>2</xdr:col>
      <xdr:colOff>85725</xdr:colOff>
      <xdr:row>186</xdr:row>
      <xdr:rowOff>83820</xdr:rowOff>
    </xdr:to>
    <xdr:sp macro="" textlink="">
      <xdr:nvSpPr>
        <xdr:cNvPr id="1028" name="Line 4"/>
        <xdr:cNvSpPr>
          <a:spLocks noChangeShapeType="1"/>
        </xdr:cNvSpPr>
      </xdr:nvSpPr>
      <xdr:spPr bwMode="auto">
        <a:xfrm flipH="1">
          <a:off x="1034415" y="32956500"/>
          <a:ext cx="300990" cy="0"/>
        </a:xfrm>
        <a:prstGeom prst="line">
          <a:avLst/>
        </a:prstGeom>
        <a:noFill/>
        <a:ln w="9525">
          <a:solidFill>
            <a:srgbClr val="FFCC00"/>
          </a:solidFill>
          <a:round/>
          <a:headEnd/>
          <a:tailEnd type="triangle" w="med" len="med"/>
        </a:ln>
      </xdr:spPr>
    </xdr:sp>
    <xdr:clientData/>
  </xdr:twoCellAnchor>
  <xdr:twoCellAnchor>
    <xdr:from>
      <xdr:col>1</xdr:col>
      <xdr:colOff>447675</xdr:colOff>
      <xdr:row>203</xdr:row>
      <xdr:rowOff>85725</xdr:rowOff>
    </xdr:from>
    <xdr:to>
      <xdr:col>2</xdr:col>
      <xdr:colOff>114300</xdr:colOff>
      <xdr:row>203</xdr:row>
      <xdr:rowOff>85725</xdr:rowOff>
    </xdr:to>
    <xdr:sp macro="" textlink="">
      <xdr:nvSpPr>
        <xdr:cNvPr id="1029" name="Line 5"/>
        <xdr:cNvSpPr>
          <a:spLocks noChangeShapeType="1"/>
        </xdr:cNvSpPr>
      </xdr:nvSpPr>
      <xdr:spPr bwMode="auto">
        <a:xfrm flipH="1">
          <a:off x="1057275" y="34613850"/>
          <a:ext cx="276225" cy="0"/>
        </a:xfrm>
        <a:prstGeom prst="line">
          <a:avLst/>
        </a:prstGeom>
        <a:noFill/>
        <a:ln w="9525">
          <a:solidFill>
            <a:srgbClr val="FFCC00"/>
          </a:solidFill>
          <a:round/>
          <a:headEnd/>
          <a:tailEnd type="triangle" w="med" len="med"/>
        </a:ln>
      </xdr:spPr>
    </xdr:sp>
    <xdr:clientData/>
  </xdr:twoCellAnchor>
  <xdr:twoCellAnchor>
    <xdr:from>
      <xdr:col>1</xdr:col>
      <xdr:colOff>457200</xdr:colOff>
      <xdr:row>206</xdr:row>
      <xdr:rowOff>76200</xdr:rowOff>
    </xdr:from>
    <xdr:to>
      <xdr:col>2</xdr:col>
      <xdr:colOff>133350</xdr:colOff>
      <xdr:row>206</xdr:row>
      <xdr:rowOff>76200</xdr:rowOff>
    </xdr:to>
    <xdr:sp macro="" textlink="">
      <xdr:nvSpPr>
        <xdr:cNvPr id="1030" name="Line 6"/>
        <xdr:cNvSpPr>
          <a:spLocks noChangeShapeType="1"/>
        </xdr:cNvSpPr>
      </xdr:nvSpPr>
      <xdr:spPr bwMode="auto">
        <a:xfrm flipH="1">
          <a:off x="1066800" y="35118675"/>
          <a:ext cx="285750" cy="0"/>
        </a:xfrm>
        <a:prstGeom prst="line">
          <a:avLst/>
        </a:prstGeom>
        <a:noFill/>
        <a:ln w="9525">
          <a:solidFill>
            <a:srgbClr val="FFCC00"/>
          </a:solidFill>
          <a:round/>
          <a:headEnd/>
          <a:tailEnd type="triangle" w="med" len="med"/>
        </a:ln>
      </xdr:spPr>
    </xdr:sp>
    <xdr:clientData/>
  </xdr:twoCellAnchor>
  <xdr:twoCellAnchor>
    <xdr:from>
      <xdr:col>3</xdr:col>
      <xdr:colOff>542926</xdr:colOff>
      <xdr:row>203</xdr:row>
      <xdr:rowOff>59055</xdr:rowOff>
    </xdr:from>
    <xdr:to>
      <xdr:col>5</xdr:col>
      <xdr:colOff>132002</xdr:colOff>
      <xdr:row>209</xdr:row>
      <xdr:rowOff>11430</xdr:rowOff>
    </xdr:to>
    <xdr:grpSp>
      <xdr:nvGrpSpPr>
        <xdr:cNvPr id="1176" name="Group 152"/>
        <xdr:cNvGrpSpPr>
          <a:grpSpLocks/>
        </xdr:cNvGrpSpPr>
      </xdr:nvGrpSpPr>
      <xdr:grpSpPr bwMode="auto">
        <a:xfrm>
          <a:off x="2371726" y="36044505"/>
          <a:ext cx="874951" cy="981075"/>
          <a:chOff x="245" y="3519"/>
          <a:chExt cx="92" cy="101"/>
        </a:xfrm>
      </xdr:grpSpPr>
      <xdr:sp macro="" textlink="">
        <xdr:nvSpPr>
          <xdr:cNvPr id="1035" name="Line 11"/>
          <xdr:cNvSpPr>
            <a:spLocks noChangeShapeType="1"/>
          </xdr:cNvSpPr>
        </xdr:nvSpPr>
        <xdr:spPr bwMode="auto">
          <a:xfrm flipV="1">
            <a:off x="280" y="3537"/>
            <a:ext cx="0" cy="83"/>
          </a:xfrm>
          <a:prstGeom prst="line">
            <a:avLst/>
          </a:prstGeom>
          <a:noFill/>
          <a:ln w="19050">
            <a:solidFill>
              <a:srgbClr val="FF0000"/>
            </a:solidFill>
            <a:round/>
            <a:headEnd type="oval" w="sm" len="sm"/>
            <a:tailEnd/>
          </a:ln>
        </xdr:spPr>
      </xdr:sp>
      <xdr:sp macro="" textlink="">
        <xdr:nvSpPr>
          <xdr:cNvPr id="1037" name="Line 13"/>
          <xdr:cNvSpPr>
            <a:spLocks noChangeShapeType="1"/>
          </xdr:cNvSpPr>
        </xdr:nvSpPr>
        <xdr:spPr bwMode="auto">
          <a:xfrm flipH="1" flipV="1">
            <a:off x="245" y="3519"/>
            <a:ext cx="35" cy="17"/>
          </a:xfrm>
          <a:prstGeom prst="line">
            <a:avLst/>
          </a:prstGeom>
          <a:noFill/>
          <a:ln w="19050">
            <a:solidFill>
              <a:srgbClr val="FF0000"/>
            </a:solidFill>
            <a:round/>
            <a:headEnd/>
            <a:tailEnd type="triangle" w="med" len="med"/>
          </a:ln>
        </xdr:spPr>
      </xdr:sp>
      <xdr:sp macro="" textlink="">
        <xdr:nvSpPr>
          <xdr:cNvPr id="1039" name="Line 15"/>
          <xdr:cNvSpPr>
            <a:spLocks noChangeShapeType="1"/>
          </xdr:cNvSpPr>
        </xdr:nvSpPr>
        <xdr:spPr bwMode="auto">
          <a:xfrm flipV="1">
            <a:off x="280" y="3520"/>
            <a:ext cx="57" cy="17"/>
          </a:xfrm>
          <a:prstGeom prst="line">
            <a:avLst/>
          </a:prstGeom>
          <a:noFill/>
          <a:ln w="19050">
            <a:solidFill>
              <a:srgbClr val="FF0000"/>
            </a:solidFill>
            <a:round/>
            <a:headEnd/>
            <a:tailEnd type="triangle" w="med" len="med"/>
          </a:ln>
        </xdr:spPr>
      </xdr:sp>
    </xdr:grpSp>
    <xdr:clientData/>
  </xdr:twoCellAnchor>
  <xdr:twoCellAnchor>
    <xdr:from>
      <xdr:col>1</xdr:col>
      <xdr:colOff>447675</xdr:colOff>
      <xdr:row>229</xdr:row>
      <xdr:rowOff>95250</xdr:rowOff>
    </xdr:from>
    <xdr:to>
      <xdr:col>2</xdr:col>
      <xdr:colOff>114300</xdr:colOff>
      <xdr:row>229</xdr:row>
      <xdr:rowOff>95250</xdr:rowOff>
    </xdr:to>
    <xdr:sp macro="" textlink="">
      <xdr:nvSpPr>
        <xdr:cNvPr id="1041" name="Line 17"/>
        <xdr:cNvSpPr>
          <a:spLocks noChangeShapeType="1"/>
        </xdr:cNvSpPr>
      </xdr:nvSpPr>
      <xdr:spPr bwMode="auto">
        <a:xfrm flipH="1">
          <a:off x="1057275" y="38976300"/>
          <a:ext cx="276225" cy="0"/>
        </a:xfrm>
        <a:prstGeom prst="line">
          <a:avLst/>
        </a:prstGeom>
        <a:noFill/>
        <a:ln w="9525">
          <a:solidFill>
            <a:srgbClr val="FFCC00"/>
          </a:solidFill>
          <a:round/>
          <a:headEnd/>
          <a:tailEnd type="triangle" w="med" len="med"/>
        </a:ln>
      </xdr:spPr>
    </xdr:sp>
    <xdr:clientData/>
  </xdr:twoCellAnchor>
  <xdr:twoCellAnchor>
    <xdr:from>
      <xdr:col>1</xdr:col>
      <xdr:colOff>447675</xdr:colOff>
      <xdr:row>232</xdr:row>
      <xdr:rowOff>85725</xdr:rowOff>
    </xdr:from>
    <xdr:to>
      <xdr:col>2</xdr:col>
      <xdr:colOff>123825</xdr:colOff>
      <xdr:row>232</xdr:row>
      <xdr:rowOff>85725</xdr:rowOff>
    </xdr:to>
    <xdr:sp macro="" textlink="">
      <xdr:nvSpPr>
        <xdr:cNvPr id="1042" name="Line 18"/>
        <xdr:cNvSpPr>
          <a:spLocks noChangeShapeType="1"/>
        </xdr:cNvSpPr>
      </xdr:nvSpPr>
      <xdr:spPr bwMode="auto">
        <a:xfrm flipH="1">
          <a:off x="1057275" y="39490650"/>
          <a:ext cx="285750" cy="0"/>
        </a:xfrm>
        <a:prstGeom prst="line">
          <a:avLst/>
        </a:prstGeom>
        <a:noFill/>
        <a:ln w="9525">
          <a:solidFill>
            <a:srgbClr val="FFCC00"/>
          </a:solidFill>
          <a:round/>
          <a:headEnd/>
          <a:tailEnd type="triangle" w="med" len="med"/>
        </a:ln>
      </xdr:spPr>
    </xdr:sp>
    <xdr:clientData/>
  </xdr:twoCellAnchor>
  <xdr:twoCellAnchor>
    <xdr:from>
      <xdr:col>1</xdr:col>
      <xdr:colOff>419100</xdr:colOff>
      <xdr:row>277</xdr:row>
      <xdr:rowOff>85725</xdr:rowOff>
    </xdr:from>
    <xdr:to>
      <xdr:col>2</xdr:col>
      <xdr:colOff>85725</xdr:colOff>
      <xdr:row>277</xdr:row>
      <xdr:rowOff>85725</xdr:rowOff>
    </xdr:to>
    <xdr:sp macro="" textlink="">
      <xdr:nvSpPr>
        <xdr:cNvPr id="1043" name="Line 19"/>
        <xdr:cNvSpPr>
          <a:spLocks noChangeShapeType="1"/>
        </xdr:cNvSpPr>
      </xdr:nvSpPr>
      <xdr:spPr bwMode="auto">
        <a:xfrm flipH="1">
          <a:off x="1028700" y="46939200"/>
          <a:ext cx="276225" cy="0"/>
        </a:xfrm>
        <a:prstGeom prst="line">
          <a:avLst/>
        </a:prstGeom>
        <a:noFill/>
        <a:ln w="9525">
          <a:solidFill>
            <a:srgbClr val="FFCC00"/>
          </a:solidFill>
          <a:round/>
          <a:headEnd/>
          <a:tailEnd type="triangle" w="med" len="med"/>
        </a:ln>
      </xdr:spPr>
    </xdr:sp>
    <xdr:clientData/>
  </xdr:twoCellAnchor>
  <xdr:twoCellAnchor>
    <xdr:from>
      <xdr:col>1</xdr:col>
      <xdr:colOff>428625</xdr:colOff>
      <xdr:row>280</xdr:row>
      <xdr:rowOff>76200</xdr:rowOff>
    </xdr:from>
    <xdr:to>
      <xdr:col>2</xdr:col>
      <xdr:colOff>104775</xdr:colOff>
      <xdr:row>280</xdr:row>
      <xdr:rowOff>76200</xdr:rowOff>
    </xdr:to>
    <xdr:sp macro="" textlink="">
      <xdr:nvSpPr>
        <xdr:cNvPr id="1044" name="Line 20"/>
        <xdr:cNvSpPr>
          <a:spLocks noChangeShapeType="1"/>
        </xdr:cNvSpPr>
      </xdr:nvSpPr>
      <xdr:spPr bwMode="auto">
        <a:xfrm flipH="1">
          <a:off x="1038225" y="47444025"/>
          <a:ext cx="285750" cy="0"/>
        </a:xfrm>
        <a:prstGeom prst="line">
          <a:avLst/>
        </a:prstGeom>
        <a:noFill/>
        <a:ln w="9525">
          <a:solidFill>
            <a:srgbClr val="FFCC00"/>
          </a:solidFill>
          <a:round/>
          <a:headEnd/>
          <a:tailEnd type="triangle" w="med" len="med"/>
        </a:ln>
      </xdr:spPr>
    </xdr:sp>
    <xdr:clientData/>
  </xdr:twoCellAnchor>
  <xdr:twoCellAnchor>
    <xdr:from>
      <xdr:col>1</xdr:col>
      <xdr:colOff>438150</xdr:colOff>
      <xdr:row>251</xdr:row>
      <xdr:rowOff>85725</xdr:rowOff>
    </xdr:from>
    <xdr:to>
      <xdr:col>2</xdr:col>
      <xdr:colOff>104775</xdr:colOff>
      <xdr:row>251</xdr:row>
      <xdr:rowOff>85725</xdr:rowOff>
    </xdr:to>
    <xdr:sp macro="" textlink="">
      <xdr:nvSpPr>
        <xdr:cNvPr id="1053" name="Line 29"/>
        <xdr:cNvSpPr>
          <a:spLocks noChangeShapeType="1"/>
        </xdr:cNvSpPr>
      </xdr:nvSpPr>
      <xdr:spPr bwMode="auto">
        <a:xfrm flipH="1">
          <a:off x="1047750" y="42614850"/>
          <a:ext cx="276225" cy="0"/>
        </a:xfrm>
        <a:prstGeom prst="line">
          <a:avLst/>
        </a:prstGeom>
        <a:noFill/>
        <a:ln w="9525">
          <a:solidFill>
            <a:srgbClr val="FFCC00"/>
          </a:solidFill>
          <a:round/>
          <a:headEnd/>
          <a:tailEnd type="triangle" w="med" len="med"/>
        </a:ln>
      </xdr:spPr>
    </xdr:sp>
    <xdr:clientData/>
  </xdr:twoCellAnchor>
  <xdr:twoCellAnchor>
    <xdr:from>
      <xdr:col>1</xdr:col>
      <xdr:colOff>447675</xdr:colOff>
      <xdr:row>254</xdr:row>
      <xdr:rowOff>76200</xdr:rowOff>
    </xdr:from>
    <xdr:to>
      <xdr:col>2</xdr:col>
      <xdr:colOff>123825</xdr:colOff>
      <xdr:row>254</xdr:row>
      <xdr:rowOff>76200</xdr:rowOff>
    </xdr:to>
    <xdr:sp macro="" textlink="">
      <xdr:nvSpPr>
        <xdr:cNvPr id="1054" name="Line 30"/>
        <xdr:cNvSpPr>
          <a:spLocks noChangeShapeType="1"/>
        </xdr:cNvSpPr>
      </xdr:nvSpPr>
      <xdr:spPr bwMode="auto">
        <a:xfrm flipH="1">
          <a:off x="1057275" y="43119675"/>
          <a:ext cx="285750" cy="0"/>
        </a:xfrm>
        <a:prstGeom prst="line">
          <a:avLst/>
        </a:prstGeom>
        <a:noFill/>
        <a:ln w="9525">
          <a:solidFill>
            <a:srgbClr val="FFCC00"/>
          </a:solidFill>
          <a:round/>
          <a:headEnd/>
          <a:tailEnd type="triangle" w="med" len="med"/>
        </a:ln>
      </xdr:spPr>
    </xdr:sp>
    <xdr:clientData/>
  </xdr:twoCellAnchor>
  <xdr:twoCellAnchor>
    <xdr:from>
      <xdr:col>1</xdr:col>
      <xdr:colOff>447675</xdr:colOff>
      <xdr:row>307</xdr:row>
      <xdr:rowOff>85725</xdr:rowOff>
    </xdr:from>
    <xdr:to>
      <xdr:col>2</xdr:col>
      <xdr:colOff>114300</xdr:colOff>
      <xdr:row>307</xdr:row>
      <xdr:rowOff>85725</xdr:rowOff>
    </xdr:to>
    <xdr:sp macro="" textlink="">
      <xdr:nvSpPr>
        <xdr:cNvPr id="1063" name="Line 39"/>
        <xdr:cNvSpPr>
          <a:spLocks noChangeShapeType="1"/>
        </xdr:cNvSpPr>
      </xdr:nvSpPr>
      <xdr:spPr bwMode="auto">
        <a:xfrm flipH="1">
          <a:off x="1057275" y="51768375"/>
          <a:ext cx="276225" cy="0"/>
        </a:xfrm>
        <a:prstGeom prst="line">
          <a:avLst/>
        </a:prstGeom>
        <a:noFill/>
        <a:ln w="9525">
          <a:solidFill>
            <a:srgbClr val="FFCC00"/>
          </a:solidFill>
          <a:round/>
          <a:headEnd/>
          <a:tailEnd type="triangle" w="med" len="med"/>
        </a:ln>
      </xdr:spPr>
    </xdr:sp>
    <xdr:clientData/>
  </xdr:twoCellAnchor>
  <xdr:twoCellAnchor>
    <xdr:from>
      <xdr:col>1</xdr:col>
      <xdr:colOff>447675</xdr:colOff>
      <xdr:row>310</xdr:row>
      <xdr:rowOff>76200</xdr:rowOff>
    </xdr:from>
    <xdr:to>
      <xdr:col>2</xdr:col>
      <xdr:colOff>123825</xdr:colOff>
      <xdr:row>310</xdr:row>
      <xdr:rowOff>76200</xdr:rowOff>
    </xdr:to>
    <xdr:sp macro="" textlink="">
      <xdr:nvSpPr>
        <xdr:cNvPr id="1064" name="Line 40"/>
        <xdr:cNvSpPr>
          <a:spLocks noChangeShapeType="1"/>
        </xdr:cNvSpPr>
      </xdr:nvSpPr>
      <xdr:spPr bwMode="auto">
        <a:xfrm flipH="1">
          <a:off x="1057275" y="52263675"/>
          <a:ext cx="285750" cy="0"/>
        </a:xfrm>
        <a:prstGeom prst="line">
          <a:avLst/>
        </a:prstGeom>
        <a:noFill/>
        <a:ln w="9525">
          <a:solidFill>
            <a:srgbClr val="FFCC00"/>
          </a:solidFill>
          <a:round/>
          <a:headEnd/>
          <a:tailEnd type="triangle" w="med" len="med"/>
        </a:ln>
      </xdr:spPr>
    </xdr:sp>
    <xdr:clientData/>
  </xdr:twoCellAnchor>
  <xdr:twoCellAnchor>
    <xdr:from>
      <xdr:col>1</xdr:col>
      <xdr:colOff>419100</xdr:colOff>
      <xdr:row>446</xdr:row>
      <xdr:rowOff>85725</xdr:rowOff>
    </xdr:from>
    <xdr:to>
      <xdr:col>2</xdr:col>
      <xdr:colOff>85725</xdr:colOff>
      <xdr:row>446</xdr:row>
      <xdr:rowOff>85725</xdr:rowOff>
    </xdr:to>
    <xdr:sp macro="" textlink="">
      <xdr:nvSpPr>
        <xdr:cNvPr id="1072" name="Line 48"/>
        <xdr:cNvSpPr>
          <a:spLocks noChangeShapeType="1"/>
        </xdr:cNvSpPr>
      </xdr:nvSpPr>
      <xdr:spPr bwMode="auto">
        <a:xfrm flipH="1">
          <a:off x="1028700" y="74761725"/>
          <a:ext cx="276225" cy="0"/>
        </a:xfrm>
        <a:prstGeom prst="line">
          <a:avLst/>
        </a:prstGeom>
        <a:noFill/>
        <a:ln w="9525">
          <a:solidFill>
            <a:srgbClr val="FFCC00"/>
          </a:solidFill>
          <a:round/>
          <a:headEnd/>
          <a:tailEnd type="triangle" w="med" len="med"/>
        </a:ln>
      </xdr:spPr>
    </xdr:sp>
    <xdr:clientData/>
  </xdr:twoCellAnchor>
  <xdr:twoCellAnchor>
    <xdr:from>
      <xdr:col>1</xdr:col>
      <xdr:colOff>409575</xdr:colOff>
      <xdr:row>450</xdr:row>
      <xdr:rowOff>85725</xdr:rowOff>
    </xdr:from>
    <xdr:to>
      <xdr:col>2</xdr:col>
      <xdr:colOff>85725</xdr:colOff>
      <xdr:row>450</xdr:row>
      <xdr:rowOff>85725</xdr:rowOff>
    </xdr:to>
    <xdr:sp macro="" textlink="">
      <xdr:nvSpPr>
        <xdr:cNvPr id="1073" name="Line 49"/>
        <xdr:cNvSpPr>
          <a:spLocks noChangeShapeType="1"/>
        </xdr:cNvSpPr>
      </xdr:nvSpPr>
      <xdr:spPr bwMode="auto">
        <a:xfrm flipH="1">
          <a:off x="1019175" y="75438000"/>
          <a:ext cx="285750" cy="0"/>
        </a:xfrm>
        <a:prstGeom prst="line">
          <a:avLst/>
        </a:prstGeom>
        <a:noFill/>
        <a:ln w="9525">
          <a:solidFill>
            <a:srgbClr val="FFCC00"/>
          </a:solidFill>
          <a:round/>
          <a:headEnd/>
          <a:tailEnd type="triangle" w="med" len="med"/>
        </a:ln>
      </xdr:spPr>
    </xdr:sp>
    <xdr:clientData/>
  </xdr:twoCellAnchor>
  <xdr:twoCellAnchor>
    <xdr:from>
      <xdr:col>1</xdr:col>
      <xdr:colOff>436245</xdr:colOff>
      <xdr:row>458</xdr:row>
      <xdr:rowOff>99060</xdr:rowOff>
    </xdr:from>
    <xdr:to>
      <xdr:col>2</xdr:col>
      <xdr:colOff>63405</xdr:colOff>
      <xdr:row>458</xdr:row>
      <xdr:rowOff>99060</xdr:rowOff>
    </xdr:to>
    <xdr:sp macro="" textlink="">
      <xdr:nvSpPr>
        <xdr:cNvPr id="1074" name="Line 50"/>
        <xdr:cNvSpPr>
          <a:spLocks noChangeShapeType="1"/>
        </xdr:cNvSpPr>
      </xdr:nvSpPr>
      <xdr:spPr bwMode="auto">
        <a:xfrm flipH="1">
          <a:off x="1061085" y="81770220"/>
          <a:ext cx="252000" cy="0"/>
        </a:xfrm>
        <a:prstGeom prst="line">
          <a:avLst/>
        </a:prstGeom>
        <a:noFill/>
        <a:ln w="9525">
          <a:solidFill>
            <a:srgbClr val="FFCC00"/>
          </a:solidFill>
          <a:round/>
          <a:headEnd/>
          <a:tailEnd type="triangle" w="med" len="med"/>
        </a:ln>
      </xdr:spPr>
    </xdr:sp>
    <xdr:clientData/>
  </xdr:twoCellAnchor>
  <xdr:twoCellAnchor>
    <xdr:from>
      <xdr:col>1</xdr:col>
      <xdr:colOff>443865</xdr:colOff>
      <xdr:row>462</xdr:row>
      <xdr:rowOff>95250</xdr:rowOff>
    </xdr:from>
    <xdr:to>
      <xdr:col>2</xdr:col>
      <xdr:colOff>71025</xdr:colOff>
      <xdr:row>462</xdr:row>
      <xdr:rowOff>95250</xdr:rowOff>
    </xdr:to>
    <xdr:sp macro="" textlink="">
      <xdr:nvSpPr>
        <xdr:cNvPr id="1075" name="Line 51"/>
        <xdr:cNvSpPr>
          <a:spLocks noChangeShapeType="1"/>
        </xdr:cNvSpPr>
      </xdr:nvSpPr>
      <xdr:spPr bwMode="auto">
        <a:xfrm flipH="1">
          <a:off x="1068705" y="82467450"/>
          <a:ext cx="252000" cy="0"/>
        </a:xfrm>
        <a:prstGeom prst="line">
          <a:avLst/>
        </a:prstGeom>
        <a:noFill/>
        <a:ln w="9525">
          <a:solidFill>
            <a:srgbClr val="FFCC00"/>
          </a:solidFill>
          <a:round/>
          <a:headEnd/>
          <a:tailEnd type="triangle" w="med" len="med"/>
        </a:ln>
      </xdr:spPr>
    </xdr:sp>
    <xdr:clientData/>
  </xdr:twoCellAnchor>
  <xdr:twoCellAnchor>
    <xdr:from>
      <xdr:col>1</xdr:col>
      <xdr:colOff>438150</xdr:colOff>
      <xdr:row>490</xdr:row>
      <xdr:rowOff>104775</xdr:rowOff>
    </xdr:from>
    <xdr:to>
      <xdr:col>2</xdr:col>
      <xdr:colOff>104775</xdr:colOff>
      <xdr:row>490</xdr:row>
      <xdr:rowOff>104775</xdr:rowOff>
    </xdr:to>
    <xdr:sp macro="" textlink="">
      <xdr:nvSpPr>
        <xdr:cNvPr id="1080" name="Line 56"/>
        <xdr:cNvSpPr>
          <a:spLocks noChangeShapeType="1"/>
        </xdr:cNvSpPr>
      </xdr:nvSpPr>
      <xdr:spPr bwMode="auto">
        <a:xfrm flipH="1">
          <a:off x="1047750" y="82410300"/>
          <a:ext cx="276225" cy="0"/>
        </a:xfrm>
        <a:prstGeom prst="line">
          <a:avLst/>
        </a:prstGeom>
        <a:noFill/>
        <a:ln w="9525">
          <a:solidFill>
            <a:srgbClr val="FFCC00"/>
          </a:solidFill>
          <a:round/>
          <a:headEnd/>
          <a:tailEnd type="triangle" w="med" len="med"/>
        </a:ln>
      </xdr:spPr>
    </xdr:sp>
    <xdr:clientData/>
  </xdr:twoCellAnchor>
  <xdr:twoCellAnchor>
    <xdr:from>
      <xdr:col>1</xdr:col>
      <xdr:colOff>438150</xdr:colOff>
      <xdr:row>494</xdr:row>
      <xdr:rowOff>104775</xdr:rowOff>
    </xdr:from>
    <xdr:to>
      <xdr:col>2</xdr:col>
      <xdr:colOff>114300</xdr:colOff>
      <xdr:row>494</xdr:row>
      <xdr:rowOff>104775</xdr:rowOff>
    </xdr:to>
    <xdr:sp macro="" textlink="">
      <xdr:nvSpPr>
        <xdr:cNvPr id="1081" name="Line 57"/>
        <xdr:cNvSpPr>
          <a:spLocks noChangeShapeType="1"/>
        </xdr:cNvSpPr>
      </xdr:nvSpPr>
      <xdr:spPr bwMode="auto">
        <a:xfrm flipH="1">
          <a:off x="1047750" y="83267550"/>
          <a:ext cx="285750" cy="0"/>
        </a:xfrm>
        <a:prstGeom prst="line">
          <a:avLst/>
        </a:prstGeom>
        <a:noFill/>
        <a:ln w="9525">
          <a:solidFill>
            <a:srgbClr val="FFCC00"/>
          </a:solidFill>
          <a:round/>
          <a:headEnd/>
          <a:tailEnd type="triangle" w="med" len="med"/>
        </a:ln>
      </xdr:spPr>
    </xdr:sp>
    <xdr:clientData/>
  </xdr:twoCellAnchor>
  <xdr:twoCellAnchor>
    <xdr:from>
      <xdr:col>1</xdr:col>
      <xdr:colOff>419100</xdr:colOff>
      <xdr:row>515</xdr:row>
      <xdr:rowOff>85725</xdr:rowOff>
    </xdr:from>
    <xdr:to>
      <xdr:col>2</xdr:col>
      <xdr:colOff>85725</xdr:colOff>
      <xdr:row>515</xdr:row>
      <xdr:rowOff>85725</xdr:rowOff>
    </xdr:to>
    <xdr:sp macro="" textlink="">
      <xdr:nvSpPr>
        <xdr:cNvPr id="1082" name="Line 58"/>
        <xdr:cNvSpPr>
          <a:spLocks noChangeShapeType="1"/>
        </xdr:cNvSpPr>
      </xdr:nvSpPr>
      <xdr:spPr bwMode="auto">
        <a:xfrm flipH="1">
          <a:off x="1028700" y="86915625"/>
          <a:ext cx="276225" cy="0"/>
        </a:xfrm>
        <a:prstGeom prst="line">
          <a:avLst/>
        </a:prstGeom>
        <a:noFill/>
        <a:ln w="9525">
          <a:solidFill>
            <a:srgbClr val="FFCC00"/>
          </a:solidFill>
          <a:round/>
          <a:headEnd/>
          <a:tailEnd type="triangle" w="med" len="med"/>
        </a:ln>
      </xdr:spPr>
    </xdr:sp>
    <xdr:clientData/>
  </xdr:twoCellAnchor>
  <xdr:twoCellAnchor>
    <xdr:from>
      <xdr:col>1</xdr:col>
      <xdr:colOff>409575</xdr:colOff>
      <xdr:row>522</xdr:row>
      <xdr:rowOff>76200</xdr:rowOff>
    </xdr:from>
    <xdr:to>
      <xdr:col>2</xdr:col>
      <xdr:colOff>85725</xdr:colOff>
      <xdr:row>522</xdr:row>
      <xdr:rowOff>76200</xdr:rowOff>
    </xdr:to>
    <xdr:sp macro="" textlink="">
      <xdr:nvSpPr>
        <xdr:cNvPr id="1083" name="Line 59"/>
        <xdr:cNvSpPr>
          <a:spLocks noChangeShapeType="1"/>
        </xdr:cNvSpPr>
      </xdr:nvSpPr>
      <xdr:spPr bwMode="auto">
        <a:xfrm flipH="1">
          <a:off x="1019175" y="88106250"/>
          <a:ext cx="285750" cy="0"/>
        </a:xfrm>
        <a:prstGeom prst="line">
          <a:avLst/>
        </a:prstGeom>
        <a:noFill/>
        <a:ln w="9525">
          <a:solidFill>
            <a:srgbClr val="FFCC00"/>
          </a:solidFill>
          <a:round/>
          <a:headEnd/>
          <a:tailEnd type="triangle" w="med" len="med"/>
        </a:ln>
      </xdr:spPr>
    </xdr:sp>
    <xdr:clientData/>
  </xdr:twoCellAnchor>
  <xdr:twoCellAnchor>
    <xdr:from>
      <xdr:col>5</xdr:col>
      <xdr:colOff>379095</xdr:colOff>
      <xdr:row>538</xdr:row>
      <xdr:rowOff>87630</xdr:rowOff>
    </xdr:from>
    <xdr:to>
      <xdr:col>5</xdr:col>
      <xdr:colOff>474345</xdr:colOff>
      <xdr:row>538</xdr:row>
      <xdr:rowOff>125730</xdr:rowOff>
    </xdr:to>
    <xdr:sp macro="" textlink="">
      <xdr:nvSpPr>
        <xdr:cNvPr id="1106" name="Line 82"/>
        <xdr:cNvSpPr>
          <a:spLocks noChangeShapeType="1"/>
        </xdr:cNvSpPr>
      </xdr:nvSpPr>
      <xdr:spPr bwMode="auto">
        <a:xfrm flipV="1">
          <a:off x="3571875" y="96114870"/>
          <a:ext cx="95250" cy="38100"/>
        </a:xfrm>
        <a:prstGeom prst="line">
          <a:avLst/>
        </a:prstGeom>
        <a:noFill/>
        <a:ln w="12700">
          <a:solidFill>
            <a:srgbClr val="FFFF00"/>
          </a:solidFill>
          <a:round/>
          <a:headEnd/>
          <a:tailEnd/>
        </a:ln>
      </xdr:spPr>
    </xdr:sp>
    <xdr:clientData/>
  </xdr:twoCellAnchor>
  <xdr:twoCellAnchor>
    <xdr:from>
      <xdr:col>1</xdr:col>
      <xdr:colOff>419100</xdr:colOff>
      <xdr:row>518</xdr:row>
      <xdr:rowOff>85725</xdr:rowOff>
    </xdr:from>
    <xdr:to>
      <xdr:col>2</xdr:col>
      <xdr:colOff>85725</xdr:colOff>
      <xdr:row>518</xdr:row>
      <xdr:rowOff>85725</xdr:rowOff>
    </xdr:to>
    <xdr:sp macro="" textlink="">
      <xdr:nvSpPr>
        <xdr:cNvPr id="1119" name="Line 95"/>
        <xdr:cNvSpPr>
          <a:spLocks noChangeShapeType="1"/>
        </xdr:cNvSpPr>
      </xdr:nvSpPr>
      <xdr:spPr bwMode="auto">
        <a:xfrm flipH="1">
          <a:off x="1028700" y="87429975"/>
          <a:ext cx="276225" cy="0"/>
        </a:xfrm>
        <a:prstGeom prst="line">
          <a:avLst/>
        </a:prstGeom>
        <a:noFill/>
        <a:ln w="9525">
          <a:solidFill>
            <a:srgbClr val="FFCC00"/>
          </a:solidFill>
          <a:round/>
          <a:headEnd/>
          <a:tailEnd type="triangle" w="med" len="med"/>
        </a:ln>
      </xdr:spPr>
    </xdr:sp>
    <xdr:clientData/>
  </xdr:twoCellAnchor>
  <xdr:twoCellAnchor>
    <xdr:from>
      <xdr:col>2</xdr:col>
      <xdr:colOff>400050</xdr:colOff>
      <xdr:row>563</xdr:row>
      <xdr:rowOff>99060</xdr:rowOff>
    </xdr:from>
    <xdr:to>
      <xdr:col>3</xdr:col>
      <xdr:colOff>66675</xdr:colOff>
      <xdr:row>563</xdr:row>
      <xdr:rowOff>99060</xdr:rowOff>
    </xdr:to>
    <xdr:sp macro="" textlink="">
      <xdr:nvSpPr>
        <xdr:cNvPr id="1122" name="Line 98"/>
        <xdr:cNvSpPr>
          <a:spLocks noChangeShapeType="1"/>
        </xdr:cNvSpPr>
      </xdr:nvSpPr>
      <xdr:spPr bwMode="auto">
        <a:xfrm flipH="1">
          <a:off x="1649730" y="100629720"/>
          <a:ext cx="291465" cy="0"/>
        </a:xfrm>
        <a:prstGeom prst="line">
          <a:avLst/>
        </a:prstGeom>
        <a:noFill/>
        <a:ln w="9525">
          <a:solidFill>
            <a:srgbClr val="FFCC00"/>
          </a:solidFill>
          <a:round/>
          <a:headEnd/>
          <a:tailEnd type="triangle" w="med" len="med"/>
        </a:ln>
      </xdr:spPr>
    </xdr:sp>
    <xdr:clientData/>
  </xdr:twoCellAnchor>
  <xdr:twoCellAnchor>
    <xdr:from>
      <xdr:col>2</xdr:col>
      <xdr:colOff>394335</xdr:colOff>
      <xdr:row>566</xdr:row>
      <xdr:rowOff>89535</xdr:rowOff>
    </xdr:from>
    <xdr:to>
      <xdr:col>3</xdr:col>
      <xdr:colOff>60960</xdr:colOff>
      <xdr:row>566</xdr:row>
      <xdr:rowOff>89535</xdr:rowOff>
    </xdr:to>
    <xdr:sp macro="" textlink="">
      <xdr:nvSpPr>
        <xdr:cNvPr id="1124" name="Line 100"/>
        <xdr:cNvSpPr>
          <a:spLocks noChangeShapeType="1"/>
        </xdr:cNvSpPr>
      </xdr:nvSpPr>
      <xdr:spPr bwMode="auto">
        <a:xfrm flipH="1">
          <a:off x="1644015" y="101145975"/>
          <a:ext cx="291465" cy="0"/>
        </a:xfrm>
        <a:prstGeom prst="line">
          <a:avLst/>
        </a:prstGeom>
        <a:noFill/>
        <a:ln w="9525">
          <a:solidFill>
            <a:srgbClr val="FFCC00"/>
          </a:solidFill>
          <a:round/>
          <a:headEnd/>
          <a:tailEnd type="triangle" w="med" len="med"/>
        </a:ln>
      </xdr:spPr>
    </xdr:sp>
    <xdr:clientData/>
  </xdr:twoCellAnchor>
  <xdr:twoCellAnchor>
    <xdr:from>
      <xdr:col>1</xdr:col>
      <xdr:colOff>419100</xdr:colOff>
      <xdr:row>587</xdr:row>
      <xdr:rowOff>104775</xdr:rowOff>
    </xdr:from>
    <xdr:to>
      <xdr:col>2</xdr:col>
      <xdr:colOff>85725</xdr:colOff>
      <xdr:row>587</xdr:row>
      <xdr:rowOff>104775</xdr:rowOff>
    </xdr:to>
    <xdr:sp macro="" textlink="">
      <xdr:nvSpPr>
        <xdr:cNvPr id="1129" name="Line 105"/>
        <xdr:cNvSpPr>
          <a:spLocks noChangeShapeType="1"/>
        </xdr:cNvSpPr>
      </xdr:nvSpPr>
      <xdr:spPr bwMode="auto">
        <a:xfrm flipH="1">
          <a:off x="1028700" y="98955225"/>
          <a:ext cx="276225" cy="0"/>
        </a:xfrm>
        <a:prstGeom prst="line">
          <a:avLst/>
        </a:prstGeom>
        <a:noFill/>
        <a:ln w="9525">
          <a:solidFill>
            <a:srgbClr val="FFCC00"/>
          </a:solidFill>
          <a:round/>
          <a:headEnd/>
          <a:tailEnd type="triangle" w="med" len="med"/>
        </a:ln>
      </xdr:spPr>
    </xdr:sp>
    <xdr:clientData/>
  </xdr:twoCellAnchor>
  <xdr:twoCellAnchor>
    <xdr:from>
      <xdr:col>1</xdr:col>
      <xdr:colOff>381000</xdr:colOff>
      <xdr:row>590</xdr:row>
      <xdr:rowOff>95250</xdr:rowOff>
    </xdr:from>
    <xdr:to>
      <xdr:col>2</xdr:col>
      <xdr:colOff>38100</xdr:colOff>
      <xdr:row>590</xdr:row>
      <xdr:rowOff>95250</xdr:rowOff>
    </xdr:to>
    <xdr:sp macro="" textlink="">
      <xdr:nvSpPr>
        <xdr:cNvPr id="1130" name="Line 106"/>
        <xdr:cNvSpPr>
          <a:spLocks noChangeShapeType="1"/>
        </xdr:cNvSpPr>
      </xdr:nvSpPr>
      <xdr:spPr bwMode="auto">
        <a:xfrm flipH="1">
          <a:off x="990600" y="99602925"/>
          <a:ext cx="266700" cy="0"/>
        </a:xfrm>
        <a:prstGeom prst="line">
          <a:avLst/>
        </a:prstGeom>
        <a:noFill/>
        <a:ln w="9525">
          <a:solidFill>
            <a:srgbClr val="FFCC00"/>
          </a:solidFill>
          <a:round/>
          <a:headEnd/>
          <a:tailEnd type="triangle" w="med" len="med"/>
        </a:ln>
      </xdr:spPr>
    </xdr:sp>
    <xdr:clientData/>
  </xdr:twoCellAnchor>
  <xdr:twoCellAnchor>
    <xdr:from>
      <xdr:col>1</xdr:col>
      <xdr:colOff>400050</xdr:colOff>
      <xdr:row>604</xdr:row>
      <xdr:rowOff>114300</xdr:rowOff>
    </xdr:from>
    <xdr:to>
      <xdr:col>2</xdr:col>
      <xdr:colOff>66675</xdr:colOff>
      <xdr:row>604</xdr:row>
      <xdr:rowOff>114300</xdr:rowOff>
    </xdr:to>
    <xdr:sp macro="" textlink="">
      <xdr:nvSpPr>
        <xdr:cNvPr id="1133" name="Line 109"/>
        <xdr:cNvSpPr>
          <a:spLocks noChangeShapeType="1"/>
        </xdr:cNvSpPr>
      </xdr:nvSpPr>
      <xdr:spPr bwMode="auto">
        <a:xfrm flipH="1">
          <a:off x="1009650" y="102165150"/>
          <a:ext cx="276225" cy="0"/>
        </a:xfrm>
        <a:prstGeom prst="line">
          <a:avLst/>
        </a:prstGeom>
        <a:noFill/>
        <a:ln w="9525">
          <a:solidFill>
            <a:srgbClr val="FFCC00"/>
          </a:solidFill>
          <a:round/>
          <a:headEnd/>
          <a:tailEnd type="triangle" w="med" len="med"/>
        </a:ln>
      </xdr:spPr>
    </xdr:sp>
    <xdr:clientData/>
  </xdr:twoCellAnchor>
  <xdr:twoCellAnchor>
    <xdr:from>
      <xdr:col>1</xdr:col>
      <xdr:colOff>371475</xdr:colOff>
      <xdr:row>607</xdr:row>
      <xdr:rowOff>104775</xdr:rowOff>
    </xdr:from>
    <xdr:to>
      <xdr:col>2</xdr:col>
      <xdr:colOff>28575</xdr:colOff>
      <xdr:row>607</xdr:row>
      <xdr:rowOff>104775</xdr:rowOff>
    </xdr:to>
    <xdr:sp macro="" textlink="">
      <xdr:nvSpPr>
        <xdr:cNvPr id="1134" name="Line 110"/>
        <xdr:cNvSpPr>
          <a:spLocks noChangeShapeType="1"/>
        </xdr:cNvSpPr>
      </xdr:nvSpPr>
      <xdr:spPr bwMode="auto">
        <a:xfrm flipH="1">
          <a:off x="981075" y="102784275"/>
          <a:ext cx="266700" cy="0"/>
        </a:xfrm>
        <a:prstGeom prst="line">
          <a:avLst/>
        </a:prstGeom>
        <a:noFill/>
        <a:ln w="9525">
          <a:solidFill>
            <a:srgbClr val="FFCC00"/>
          </a:solidFill>
          <a:round/>
          <a:headEnd/>
          <a:tailEnd type="triangle" w="med" len="med"/>
        </a:ln>
      </xdr:spPr>
    </xdr:sp>
    <xdr:clientData/>
  </xdr:twoCellAnchor>
  <xdr:twoCellAnchor>
    <xdr:from>
      <xdr:col>0</xdr:col>
      <xdr:colOff>400050</xdr:colOff>
      <xdr:row>621</xdr:row>
      <xdr:rowOff>85725</xdr:rowOff>
    </xdr:from>
    <xdr:to>
      <xdr:col>1</xdr:col>
      <xdr:colOff>66675</xdr:colOff>
      <xdr:row>621</xdr:row>
      <xdr:rowOff>85725</xdr:rowOff>
    </xdr:to>
    <xdr:sp macro="" textlink="">
      <xdr:nvSpPr>
        <xdr:cNvPr id="1135" name="Line 111"/>
        <xdr:cNvSpPr>
          <a:spLocks noChangeShapeType="1"/>
        </xdr:cNvSpPr>
      </xdr:nvSpPr>
      <xdr:spPr bwMode="auto">
        <a:xfrm flipH="1">
          <a:off x="400050" y="105384600"/>
          <a:ext cx="276225" cy="0"/>
        </a:xfrm>
        <a:prstGeom prst="line">
          <a:avLst/>
        </a:prstGeom>
        <a:noFill/>
        <a:ln w="9525">
          <a:solidFill>
            <a:srgbClr val="FFCC00"/>
          </a:solidFill>
          <a:round/>
          <a:headEnd/>
          <a:tailEnd type="triangle" w="med" len="med"/>
        </a:ln>
      </xdr:spPr>
    </xdr:sp>
    <xdr:clientData/>
  </xdr:twoCellAnchor>
  <xdr:twoCellAnchor>
    <xdr:from>
      <xdr:col>0</xdr:col>
      <xdr:colOff>371475</xdr:colOff>
      <xdr:row>623</xdr:row>
      <xdr:rowOff>95250</xdr:rowOff>
    </xdr:from>
    <xdr:to>
      <xdr:col>1</xdr:col>
      <xdr:colOff>28575</xdr:colOff>
      <xdr:row>623</xdr:row>
      <xdr:rowOff>95250</xdr:rowOff>
    </xdr:to>
    <xdr:sp macro="" textlink="">
      <xdr:nvSpPr>
        <xdr:cNvPr id="1137" name="Line 113"/>
        <xdr:cNvSpPr>
          <a:spLocks noChangeShapeType="1"/>
        </xdr:cNvSpPr>
      </xdr:nvSpPr>
      <xdr:spPr bwMode="auto">
        <a:xfrm flipH="1">
          <a:off x="371475" y="105756075"/>
          <a:ext cx="266700" cy="0"/>
        </a:xfrm>
        <a:prstGeom prst="line">
          <a:avLst/>
        </a:prstGeom>
        <a:noFill/>
        <a:ln w="9525">
          <a:solidFill>
            <a:srgbClr val="FFCC00"/>
          </a:solidFill>
          <a:round/>
          <a:headEnd/>
          <a:tailEnd type="triangle" w="med" len="med"/>
        </a:ln>
      </xdr:spPr>
    </xdr:sp>
    <xdr:clientData/>
  </xdr:twoCellAnchor>
  <xdr:twoCellAnchor>
    <xdr:from>
      <xdr:col>0</xdr:col>
      <xdr:colOff>409575</xdr:colOff>
      <xdr:row>633</xdr:row>
      <xdr:rowOff>87630</xdr:rowOff>
    </xdr:from>
    <xdr:to>
      <xdr:col>1</xdr:col>
      <xdr:colOff>76200</xdr:colOff>
      <xdr:row>633</xdr:row>
      <xdr:rowOff>87630</xdr:rowOff>
    </xdr:to>
    <xdr:sp macro="" textlink="">
      <xdr:nvSpPr>
        <xdr:cNvPr id="1138" name="Line 114"/>
        <xdr:cNvSpPr>
          <a:spLocks noChangeShapeType="1"/>
        </xdr:cNvSpPr>
      </xdr:nvSpPr>
      <xdr:spPr bwMode="auto">
        <a:xfrm flipH="1">
          <a:off x="409575" y="113465610"/>
          <a:ext cx="291465" cy="0"/>
        </a:xfrm>
        <a:prstGeom prst="line">
          <a:avLst/>
        </a:prstGeom>
        <a:noFill/>
        <a:ln w="9525">
          <a:solidFill>
            <a:srgbClr val="FFCC00"/>
          </a:solidFill>
          <a:round/>
          <a:headEnd/>
          <a:tailEnd type="triangle" w="med" len="med"/>
        </a:ln>
      </xdr:spPr>
    </xdr:sp>
    <xdr:clientData/>
  </xdr:twoCellAnchor>
  <xdr:twoCellAnchor>
    <xdr:from>
      <xdr:col>0</xdr:col>
      <xdr:colOff>386715</xdr:colOff>
      <xdr:row>635</xdr:row>
      <xdr:rowOff>85725</xdr:rowOff>
    </xdr:from>
    <xdr:to>
      <xdr:col>1</xdr:col>
      <xdr:colOff>43815</xdr:colOff>
      <xdr:row>635</xdr:row>
      <xdr:rowOff>85725</xdr:rowOff>
    </xdr:to>
    <xdr:sp macro="" textlink="">
      <xdr:nvSpPr>
        <xdr:cNvPr id="1139" name="Line 115"/>
        <xdr:cNvSpPr>
          <a:spLocks noChangeShapeType="1"/>
        </xdr:cNvSpPr>
      </xdr:nvSpPr>
      <xdr:spPr bwMode="auto">
        <a:xfrm flipH="1">
          <a:off x="386715" y="113814225"/>
          <a:ext cx="281940" cy="0"/>
        </a:xfrm>
        <a:prstGeom prst="line">
          <a:avLst/>
        </a:prstGeom>
        <a:noFill/>
        <a:ln w="9525">
          <a:solidFill>
            <a:srgbClr val="FFCC00"/>
          </a:solidFill>
          <a:round/>
          <a:headEnd/>
          <a:tailEnd type="triangle" w="med" len="med"/>
        </a:ln>
      </xdr:spPr>
    </xdr:sp>
    <xdr:clientData/>
  </xdr:twoCellAnchor>
  <xdr:twoCellAnchor>
    <xdr:from>
      <xdr:col>0</xdr:col>
      <xdr:colOff>409575</xdr:colOff>
      <xdr:row>638</xdr:row>
      <xdr:rowOff>87630</xdr:rowOff>
    </xdr:from>
    <xdr:to>
      <xdr:col>1</xdr:col>
      <xdr:colOff>85725</xdr:colOff>
      <xdr:row>638</xdr:row>
      <xdr:rowOff>87630</xdr:rowOff>
    </xdr:to>
    <xdr:sp macro="" textlink="">
      <xdr:nvSpPr>
        <xdr:cNvPr id="1140" name="Line 116"/>
        <xdr:cNvSpPr>
          <a:spLocks noChangeShapeType="1"/>
        </xdr:cNvSpPr>
      </xdr:nvSpPr>
      <xdr:spPr bwMode="auto">
        <a:xfrm flipH="1">
          <a:off x="409575" y="114341910"/>
          <a:ext cx="300990" cy="0"/>
        </a:xfrm>
        <a:prstGeom prst="line">
          <a:avLst/>
        </a:prstGeom>
        <a:noFill/>
        <a:ln w="9525">
          <a:solidFill>
            <a:srgbClr val="FFCC00"/>
          </a:solidFill>
          <a:round/>
          <a:headEnd/>
          <a:tailEnd type="triangle" w="med" len="med"/>
        </a:ln>
      </xdr:spPr>
    </xdr:sp>
    <xdr:clientData/>
  </xdr:twoCellAnchor>
  <xdr:twoCellAnchor>
    <xdr:from>
      <xdr:col>1</xdr:col>
      <xdr:colOff>438150</xdr:colOff>
      <xdr:row>693</xdr:row>
      <xdr:rowOff>95250</xdr:rowOff>
    </xdr:from>
    <xdr:to>
      <xdr:col>2</xdr:col>
      <xdr:colOff>104775</xdr:colOff>
      <xdr:row>693</xdr:row>
      <xdr:rowOff>95250</xdr:rowOff>
    </xdr:to>
    <xdr:sp macro="" textlink="">
      <xdr:nvSpPr>
        <xdr:cNvPr id="1141" name="Line 117"/>
        <xdr:cNvSpPr>
          <a:spLocks noChangeShapeType="1"/>
        </xdr:cNvSpPr>
      </xdr:nvSpPr>
      <xdr:spPr bwMode="auto">
        <a:xfrm flipH="1">
          <a:off x="1047750" y="117690900"/>
          <a:ext cx="276225" cy="0"/>
        </a:xfrm>
        <a:prstGeom prst="line">
          <a:avLst/>
        </a:prstGeom>
        <a:noFill/>
        <a:ln w="9525">
          <a:solidFill>
            <a:srgbClr val="FFCC00"/>
          </a:solidFill>
          <a:round/>
          <a:headEnd/>
          <a:tailEnd type="triangle" w="med" len="med"/>
        </a:ln>
      </xdr:spPr>
    </xdr:sp>
    <xdr:clientData/>
  </xdr:twoCellAnchor>
  <xdr:twoCellAnchor>
    <xdr:from>
      <xdr:col>1</xdr:col>
      <xdr:colOff>438150</xdr:colOff>
      <xdr:row>696</xdr:row>
      <xdr:rowOff>95250</xdr:rowOff>
    </xdr:from>
    <xdr:to>
      <xdr:col>2</xdr:col>
      <xdr:colOff>114300</xdr:colOff>
      <xdr:row>696</xdr:row>
      <xdr:rowOff>95250</xdr:rowOff>
    </xdr:to>
    <xdr:sp macro="" textlink="">
      <xdr:nvSpPr>
        <xdr:cNvPr id="1142" name="Line 118"/>
        <xdr:cNvSpPr>
          <a:spLocks noChangeShapeType="1"/>
        </xdr:cNvSpPr>
      </xdr:nvSpPr>
      <xdr:spPr bwMode="auto">
        <a:xfrm flipH="1">
          <a:off x="1047750" y="118281450"/>
          <a:ext cx="285750" cy="0"/>
        </a:xfrm>
        <a:prstGeom prst="line">
          <a:avLst/>
        </a:prstGeom>
        <a:noFill/>
        <a:ln w="9525">
          <a:solidFill>
            <a:srgbClr val="FFCC00"/>
          </a:solidFill>
          <a:round/>
          <a:headEnd/>
          <a:tailEnd type="triangle" w="med" len="med"/>
        </a:ln>
      </xdr:spPr>
    </xdr:sp>
    <xdr:clientData/>
  </xdr:twoCellAnchor>
  <xdr:twoCellAnchor>
    <xdr:from>
      <xdr:col>1</xdr:col>
      <xdr:colOff>447675</xdr:colOff>
      <xdr:row>723</xdr:row>
      <xdr:rowOff>99060</xdr:rowOff>
    </xdr:from>
    <xdr:to>
      <xdr:col>2</xdr:col>
      <xdr:colOff>114300</xdr:colOff>
      <xdr:row>723</xdr:row>
      <xdr:rowOff>99060</xdr:rowOff>
    </xdr:to>
    <xdr:sp macro="" textlink="">
      <xdr:nvSpPr>
        <xdr:cNvPr id="1143" name="Line 119"/>
        <xdr:cNvSpPr>
          <a:spLocks noChangeShapeType="1"/>
        </xdr:cNvSpPr>
      </xdr:nvSpPr>
      <xdr:spPr bwMode="auto">
        <a:xfrm flipH="1">
          <a:off x="1072515" y="130096260"/>
          <a:ext cx="291465" cy="0"/>
        </a:xfrm>
        <a:prstGeom prst="line">
          <a:avLst/>
        </a:prstGeom>
        <a:noFill/>
        <a:ln w="9525">
          <a:solidFill>
            <a:srgbClr val="FFCC00"/>
          </a:solidFill>
          <a:round/>
          <a:headEnd/>
          <a:tailEnd type="triangle" w="med" len="med"/>
        </a:ln>
      </xdr:spPr>
    </xdr:sp>
    <xdr:clientData/>
  </xdr:twoCellAnchor>
  <xdr:twoCellAnchor>
    <xdr:from>
      <xdr:col>1</xdr:col>
      <xdr:colOff>447675</xdr:colOff>
      <xdr:row>726</xdr:row>
      <xdr:rowOff>89535</xdr:rowOff>
    </xdr:from>
    <xdr:to>
      <xdr:col>2</xdr:col>
      <xdr:colOff>123825</xdr:colOff>
      <xdr:row>726</xdr:row>
      <xdr:rowOff>89535</xdr:rowOff>
    </xdr:to>
    <xdr:sp macro="" textlink="">
      <xdr:nvSpPr>
        <xdr:cNvPr id="1144" name="Line 120"/>
        <xdr:cNvSpPr>
          <a:spLocks noChangeShapeType="1"/>
        </xdr:cNvSpPr>
      </xdr:nvSpPr>
      <xdr:spPr bwMode="auto">
        <a:xfrm flipH="1">
          <a:off x="1072515" y="130612515"/>
          <a:ext cx="300990" cy="0"/>
        </a:xfrm>
        <a:prstGeom prst="line">
          <a:avLst/>
        </a:prstGeom>
        <a:noFill/>
        <a:ln w="9525">
          <a:solidFill>
            <a:srgbClr val="FFCC00"/>
          </a:solidFill>
          <a:round/>
          <a:headEnd/>
          <a:tailEnd type="triangle" w="med" len="med"/>
        </a:ln>
      </xdr:spPr>
    </xdr:sp>
    <xdr:clientData/>
  </xdr:twoCellAnchor>
  <xdr:twoCellAnchor>
    <xdr:from>
      <xdr:col>1</xdr:col>
      <xdr:colOff>438150</xdr:colOff>
      <xdr:row>740</xdr:row>
      <xdr:rowOff>85725</xdr:rowOff>
    </xdr:from>
    <xdr:to>
      <xdr:col>2</xdr:col>
      <xdr:colOff>104775</xdr:colOff>
      <xdr:row>740</xdr:row>
      <xdr:rowOff>85725</xdr:rowOff>
    </xdr:to>
    <xdr:sp macro="" textlink="">
      <xdr:nvSpPr>
        <xdr:cNvPr id="1149" name="Line 125"/>
        <xdr:cNvSpPr>
          <a:spLocks noChangeShapeType="1"/>
        </xdr:cNvSpPr>
      </xdr:nvSpPr>
      <xdr:spPr bwMode="auto">
        <a:xfrm flipH="1">
          <a:off x="1047750" y="125453775"/>
          <a:ext cx="276225" cy="0"/>
        </a:xfrm>
        <a:prstGeom prst="line">
          <a:avLst/>
        </a:prstGeom>
        <a:noFill/>
        <a:ln w="9525">
          <a:solidFill>
            <a:srgbClr val="FFCC00"/>
          </a:solidFill>
          <a:round/>
          <a:headEnd/>
          <a:tailEnd type="triangle" w="med" len="med"/>
        </a:ln>
      </xdr:spPr>
    </xdr:sp>
    <xdr:clientData/>
  </xdr:twoCellAnchor>
  <xdr:twoCellAnchor>
    <xdr:from>
      <xdr:col>1</xdr:col>
      <xdr:colOff>447675</xdr:colOff>
      <xdr:row>743</xdr:row>
      <xdr:rowOff>76200</xdr:rowOff>
    </xdr:from>
    <xdr:to>
      <xdr:col>2</xdr:col>
      <xdr:colOff>123825</xdr:colOff>
      <xdr:row>743</xdr:row>
      <xdr:rowOff>76200</xdr:rowOff>
    </xdr:to>
    <xdr:sp macro="" textlink="">
      <xdr:nvSpPr>
        <xdr:cNvPr id="1150" name="Line 126"/>
        <xdr:cNvSpPr>
          <a:spLocks noChangeShapeType="1"/>
        </xdr:cNvSpPr>
      </xdr:nvSpPr>
      <xdr:spPr bwMode="auto">
        <a:xfrm flipH="1">
          <a:off x="1057275" y="125958600"/>
          <a:ext cx="285750" cy="0"/>
        </a:xfrm>
        <a:prstGeom prst="line">
          <a:avLst/>
        </a:prstGeom>
        <a:noFill/>
        <a:ln w="9525">
          <a:solidFill>
            <a:srgbClr val="FFCC00"/>
          </a:solidFill>
          <a:round/>
          <a:headEnd/>
          <a:tailEnd type="triangle" w="med" len="med"/>
        </a:ln>
      </xdr:spPr>
    </xdr:sp>
    <xdr:clientData/>
  </xdr:twoCellAnchor>
  <xdr:twoCellAnchor>
    <xdr:from>
      <xdr:col>0</xdr:col>
      <xdr:colOff>409575</xdr:colOff>
      <xdr:row>769</xdr:row>
      <xdr:rowOff>85725</xdr:rowOff>
    </xdr:from>
    <xdr:to>
      <xdr:col>1</xdr:col>
      <xdr:colOff>76200</xdr:colOff>
      <xdr:row>769</xdr:row>
      <xdr:rowOff>85725</xdr:rowOff>
    </xdr:to>
    <xdr:sp macro="" textlink="">
      <xdr:nvSpPr>
        <xdr:cNvPr id="1151" name="Line 127"/>
        <xdr:cNvSpPr>
          <a:spLocks noChangeShapeType="1"/>
        </xdr:cNvSpPr>
      </xdr:nvSpPr>
      <xdr:spPr bwMode="auto">
        <a:xfrm flipH="1">
          <a:off x="409575" y="130425825"/>
          <a:ext cx="276225" cy="0"/>
        </a:xfrm>
        <a:prstGeom prst="line">
          <a:avLst/>
        </a:prstGeom>
        <a:noFill/>
        <a:ln w="9525">
          <a:solidFill>
            <a:srgbClr val="FFCC00"/>
          </a:solidFill>
          <a:round/>
          <a:headEnd/>
          <a:tailEnd type="triangle" w="med" len="med"/>
        </a:ln>
      </xdr:spPr>
    </xdr:sp>
    <xdr:clientData/>
  </xdr:twoCellAnchor>
  <xdr:twoCellAnchor>
    <xdr:from>
      <xdr:col>0</xdr:col>
      <xdr:colOff>409575</xdr:colOff>
      <xdr:row>772</xdr:row>
      <xdr:rowOff>76200</xdr:rowOff>
    </xdr:from>
    <xdr:to>
      <xdr:col>1</xdr:col>
      <xdr:colOff>85725</xdr:colOff>
      <xdr:row>772</xdr:row>
      <xdr:rowOff>76200</xdr:rowOff>
    </xdr:to>
    <xdr:sp macro="" textlink="">
      <xdr:nvSpPr>
        <xdr:cNvPr id="1153" name="Line 129"/>
        <xdr:cNvSpPr>
          <a:spLocks noChangeShapeType="1"/>
        </xdr:cNvSpPr>
      </xdr:nvSpPr>
      <xdr:spPr bwMode="auto">
        <a:xfrm flipH="1">
          <a:off x="409575" y="130959225"/>
          <a:ext cx="285750" cy="0"/>
        </a:xfrm>
        <a:prstGeom prst="line">
          <a:avLst/>
        </a:prstGeom>
        <a:noFill/>
        <a:ln w="9525">
          <a:solidFill>
            <a:srgbClr val="FFCC00"/>
          </a:solidFill>
          <a:round/>
          <a:headEnd/>
          <a:tailEnd type="triangle" w="med" len="med"/>
        </a:ln>
      </xdr:spPr>
    </xdr:sp>
    <xdr:clientData/>
  </xdr:twoCellAnchor>
  <xdr:twoCellAnchor>
    <xdr:from>
      <xdr:col>0</xdr:col>
      <xdr:colOff>447675</xdr:colOff>
      <xdr:row>811</xdr:row>
      <xdr:rowOff>9525</xdr:rowOff>
    </xdr:from>
    <xdr:to>
      <xdr:col>1</xdr:col>
      <xdr:colOff>57150</xdr:colOff>
      <xdr:row>811</xdr:row>
      <xdr:rowOff>9525</xdr:rowOff>
    </xdr:to>
    <xdr:sp macro="" textlink="">
      <xdr:nvSpPr>
        <xdr:cNvPr id="1154" name="Line 130"/>
        <xdr:cNvSpPr>
          <a:spLocks noChangeShapeType="1"/>
        </xdr:cNvSpPr>
      </xdr:nvSpPr>
      <xdr:spPr bwMode="auto">
        <a:xfrm flipH="1">
          <a:off x="447675" y="139846050"/>
          <a:ext cx="219075" cy="0"/>
        </a:xfrm>
        <a:prstGeom prst="line">
          <a:avLst/>
        </a:prstGeom>
        <a:noFill/>
        <a:ln w="9525">
          <a:solidFill>
            <a:srgbClr val="FFCC00"/>
          </a:solidFill>
          <a:round/>
          <a:headEnd/>
          <a:tailEnd type="triangle" w="med" len="med"/>
        </a:ln>
      </xdr:spPr>
    </xdr:sp>
    <xdr:clientData/>
  </xdr:twoCellAnchor>
  <xdr:twoCellAnchor>
    <xdr:from>
      <xdr:col>0</xdr:col>
      <xdr:colOff>438150</xdr:colOff>
      <xdr:row>816</xdr:row>
      <xdr:rowOff>0</xdr:rowOff>
    </xdr:from>
    <xdr:to>
      <xdr:col>1</xdr:col>
      <xdr:colOff>66675</xdr:colOff>
      <xdr:row>816</xdr:row>
      <xdr:rowOff>0</xdr:rowOff>
    </xdr:to>
    <xdr:sp macro="" textlink="">
      <xdr:nvSpPr>
        <xdr:cNvPr id="1156" name="Line 132"/>
        <xdr:cNvSpPr>
          <a:spLocks noChangeShapeType="1"/>
        </xdr:cNvSpPr>
      </xdr:nvSpPr>
      <xdr:spPr bwMode="auto">
        <a:xfrm flipH="1">
          <a:off x="438150" y="140827125"/>
          <a:ext cx="238125" cy="0"/>
        </a:xfrm>
        <a:prstGeom prst="line">
          <a:avLst/>
        </a:prstGeom>
        <a:noFill/>
        <a:ln w="9525">
          <a:solidFill>
            <a:srgbClr val="FFCC00"/>
          </a:solidFill>
          <a:round/>
          <a:headEnd/>
          <a:tailEnd type="triangle" w="med" len="med"/>
        </a:ln>
      </xdr:spPr>
    </xdr:sp>
    <xdr:clientData/>
  </xdr:twoCellAnchor>
  <xdr:twoCellAnchor>
    <xdr:from>
      <xdr:col>1</xdr:col>
      <xdr:colOff>361950</xdr:colOff>
      <xdr:row>843</xdr:row>
      <xdr:rowOff>114300</xdr:rowOff>
    </xdr:from>
    <xdr:to>
      <xdr:col>2</xdr:col>
      <xdr:colOff>28575</xdr:colOff>
      <xdr:row>843</xdr:row>
      <xdr:rowOff>114300</xdr:rowOff>
    </xdr:to>
    <xdr:sp macro="" textlink="">
      <xdr:nvSpPr>
        <xdr:cNvPr id="1157" name="Line 133"/>
        <xdr:cNvSpPr>
          <a:spLocks noChangeShapeType="1"/>
        </xdr:cNvSpPr>
      </xdr:nvSpPr>
      <xdr:spPr bwMode="auto">
        <a:xfrm flipH="1">
          <a:off x="971550" y="145199100"/>
          <a:ext cx="276225" cy="0"/>
        </a:xfrm>
        <a:prstGeom prst="line">
          <a:avLst/>
        </a:prstGeom>
        <a:noFill/>
        <a:ln w="9525">
          <a:solidFill>
            <a:srgbClr val="FFCC00"/>
          </a:solidFill>
          <a:round/>
          <a:headEnd/>
          <a:tailEnd type="triangle" w="med" len="med"/>
        </a:ln>
      </xdr:spPr>
    </xdr:sp>
    <xdr:clientData/>
  </xdr:twoCellAnchor>
  <xdr:twoCellAnchor>
    <xdr:from>
      <xdr:col>1</xdr:col>
      <xdr:colOff>361950</xdr:colOff>
      <xdr:row>845</xdr:row>
      <xdr:rowOff>114300</xdr:rowOff>
    </xdr:from>
    <xdr:to>
      <xdr:col>2</xdr:col>
      <xdr:colOff>28575</xdr:colOff>
      <xdr:row>845</xdr:row>
      <xdr:rowOff>114300</xdr:rowOff>
    </xdr:to>
    <xdr:sp macro="" textlink="">
      <xdr:nvSpPr>
        <xdr:cNvPr id="1158" name="Line 134"/>
        <xdr:cNvSpPr>
          <a:spLocks noChangeShapeType="1"/>
        </xdr:cNvSpPr>
      </xdr:nvSpPr>
      <xdr:spPr bwMode="auto">
        <a:xfrm flipH="1">
          <a:off x="971550" y="145494375"/>
          <a:ext cx="276225" cy="0"/>
        </a:xfrm>
        <a:prstGeom prst="line">
          <a:avLst/>
        </a:prstGeom>
        <a:noFill/>
        <a:ln w="9525">
          <a:solidFill>
            <a:srgbClr val="FFCC00"/>
          </a:solidFill>
          <a:round/>
          <a:headEnd/>
          <a:tailEnd type="triangle" w="med" len="med"/>
        </a:ln>
      </xdr:spPr>
    </xdr:sp>
    <xdr:clientData/>
  </xdr:twoCellAnchor>
  <xdr:twoCellAnchor>
    <xdr:from>
      <xdr:col>1</xdr:col>
      <xdr:colOff>447675</xdr:colOff>
      <xdr:row>897</xdr:row>
      <xdr:rowOff>85725</xdr:rowOff>
    </xdr:from>
    <xdr:to>
      <xdr:col>2</xdr:col>
      <xdr:colOff>123825</xdr:colOff>
      <xdr:row>897</xdr:row>
      <xdr:rowOff>85725</xdr:rowOff>
    </xdr:to>
    <xdr:sp macro="" textlink="">
      <xdr:nvSpPr>
        <xdr:cNvPr id="1160" name="Line 136"/>
        <xdr:cNvSpPr>
          <a:spLocks noChangeShapeType="1"/>
        </xdr:cNvSpPr>
      </xdr:nvSpPr>
      <xdr:spPr bwMode="auto">
        <a:xfrm flipH="1">
          <a:off x="1057275" y="154562175"/>
          <a:ext cx="285750" cy="0"/>
        </a:xfrm>
        <a:prstGeom prst="line">
          <a:avLst/>
        </a:prstGeom>
        <a:noFill/>
        <a:ln w="9525">
          <a:solidFill>
            <a:srgbClr val="FFCC00"/>
          </a:solidFill>
          <a:round/>
          <a:headEnd/>
          <a:tailEnd type="triangle" w="med" len="med"/>
        </a:ln>
      </xdr:spPr>
    </xdr:sp>
    <xdr:clientData/>
  </xdr:twoCellAnchor>
  <xdr:twoCellAnchor>
    <xdr:from>
      <xdr:col>1</xdr:col>
      <xdr:colOff>447675</xdr:colOff>
      <xdr:row>904</xdr:row>
      <xdr:rowOff>76200</xdr:rowOff>
    </xdr:from>
    <xdr:to>
      <xdr:col>2</xdr:col>
      <xdr:colOff>123825</xdr:colOff>
      <xdr:row>904</xdr:row>
      <xdr:rowOff>76200</xdr:rowOff>
    </xdr:to>
    <xdr:sp macro="" textlink="">
      <xdr:nvSpPr>
        <xdr:cNvPr id="1162" name="Line 138"/>
        <xdr:cNvSpPr>
          <a:spLocks noChangeShapeType="1"/>
        </xdr:cNvSpPr>
      </xdr:nvSpPr>
      <xdr:spPr bwMode="auto">
        <a:xfrm flipH="1">
          <a:off x="1057275" y="155695650"/>
          <a:ext cx="285750" cy="0"/>
        </a:xfrm>
        <a:prstGeom prst="line">
          <a:avLst/>
        </a:prstGeom>
        <a:noFill/>
        <a:ln w="9525">
          <a:solidFill>
            <a:srgbClr val="FFCC00"/>
          </a:solidFill>
          <a:round/>
          <a:headEnd/>
          <a:tailEnd type="triangle" w="med" len="med"/>
        </a:ln>
      </xdr:spPr>
    </xdr:sp>
    <xdr:clientData/>
  </xdr:twoCellAnchor>
  <xdr:twoCellAnchor>
    <xdr:from>
      <xdr:col>18</xdr:col>
      <xdr:colOff>9525</xdr:colOff>
      <xdr:row>20</xdr:row>
      <xdr:rowOff>180975</xdr:rowOff>
    </xdr:from>
    <xdr:to>
      <xdr:col>18</xdr:col>
      <xdr:colOff>523875</xdr:colOff>
      <xdr:row>20</xdr:row>
      <xdr:rowOff>180975</xdr:rowOff>
    </xdr:to>
    <xdr:sp macro="" textlink="">
      <xdr:nvSpPr>
        <xdr:cNvPr id="1288" name="Line 264"/>
        <xdr:cNvSpPr>
          <a:spLocks noChangeShapeType="1"/>
        </xdr:cNvSpPr>
      </xdr:nvSpPr>
      <xdr:spPr bwMode="auto">
        <a:xfrm>
          <a:off x="10601325" y="3733800"/>
          <a:ext cx="514350" cy="0"/>
        </a:xfrm>
        <a:prstGeom prst="line">
          <a:avLst/>
        </a:prstGeom>
        <a:noFill/>
        <a:ln w="9525">
          <a:solidFill>
            <a:srgbClr val="FF0000"/>
          </a:solidFill>
          <a:round/>
          <a:headEnd/>
          <a:tailEnd type="triangle" w="med" len="med"/>
        </a:ln>
      </xdr:spPr>
    </xdr:sp>
    <xdr:clientData/>
  </xdr:twoCellAnchor>
  <xdr:twoCellAnchor>
    <xdr:from>
      <xdr:col>18</xdr:col>
      <xdr:colOff>581025</xdr:colOff>
      <xdr:row>26</xdr:row>
      <xdr:rowOff>85725</xdr:rowOff>
    </xdr:from>
    <xdr:to>
      <xdr:col>19</xdr:col>
      <xdr:colOff>495300</xdr:colOff>
      <xdr:row>26</xdr:row>
      <xdr:rowOff>85725</xdr:rowOff>
    </xdr:to>
    <xdr:sp macro="" textlink="">
      <xdr:nvSpPr>
        <xdr:cNvPr id="1289" name="Line 265"/>
        <xdr:cNvSpPr>
          <a:spLocks noChangeShapeType="1"/>
        </xdr:cNvSpPr>
      </xdr:nvSpPr>
      <xdr:spPr bwMode="auto">
        <a:xfrm>
          <a:off x="11172825" y="4838700"/>
          <a:ext cx="523875" cy="0"/>
        </a:xfrm>
        <a:prstGeom prst="line">
          <a:avLst/>
        </a:prstGeom>
        <a:noFill/>
        <a:ln w="9525">
          <a:solidFill>
            <a:srgbClr val="FF0000"/>
          </a:solidFill>
          <a:round/>
          <a:headEnd/>
          <a:tailEnd type="triangle" w="med" len="med"/>
        </a:ln>
      </xdr:spPr>
    </xdr:sp>
    <xdr:clientData/>
  </xdr:twoCellAnchor>
  <xdr:twoCellAnchor>
    <xdr:from>
      <xdr:col>16</xdr:col>
      <xdr:colOff>361950</xdr:colOff>
      <xdr:row>30</xdr:row>
      <xdr:rowOff>85725</xdr:rowOff>
    </xdr:from>
    <xdr:to>
      <xdr:col>16</xdr:col>
      <xdr:colOff>495300</xdr:colOff>
      <xdr:row>30</xdr:row>
      <xdr:rowOff>85725</xdr:rowOff>
    </xdr:to>
    <xdr:sp macro="" textlink="">
      <xdr:nvSpPr>
        <xdr:cNvPr id="1293" name="Line 269"/>
        <xdr:cNvSpPr>
          <a:spLocks noChangeShapeType="1"/>
        </xdr:cNvSpPr>
      </xdr:nvSpPr>
      <xdr:spPr bwMode="auto">
        <a:xfrm>
          <a:off x="9734550" y="5534025"/>
          <a:ext cx="133350" cy="0"/>
        </a:xfrm>
        <a:prstGeom prst="line">
          <a:avLst/>
        </a:prstGeom>
        <a:noFill/>
        <a:ln w="9525">
          <a:solidFill>
            <a:srgbClr val="000000"/>
          </a:solidFill>
          <a:round/>
          <a:headEnd/>
          <a:tailEnd/>
        </a:ln>
      </xdr:spPr>
    </xdr:sp>
    <xdr:clientData/>
  </xdr:twoCellAnchor>
  <xdr:twoCellAnchor>
    <xdr:from>
      <xdr:col>18</xdr:col>
      <xdr:colOff>266700</xdr:colOff>
      <xdr:row>30</xdr:row>
      <xdr:rowOff>85725</xdr:rowOff>
    </xdr:from>
    <xdr:to>
      <xdr:col>18</xdr:col>
      <xdr:colOff>400050</xdr:colOff>
      <xdr:row>30</xdr:row>
      <xdr:rowOff>85725</xdr:rowOff>
    </xdr:to>
    <xdr:sp macro="" textlink="">
      <xdr:nvSpPr>
        <xdr:cNvPr id="1294" name="Line 270"/>
        <xdr:cNvSpPr>
          <a:spLocks noChangeShapeType="1"/>
        </xdr:cNvSpPr>
      </xdr:nvSpPr>
      <xdr:spPr bwMode="auto">
        <a:xfrm>
          <a:off x="10858500" y="5534025"/>
          <a:ext cx="133350" cy="0"/>
        </a:xfrm>
        <a:prstGeom prst="line">
          <a:avLst/>
        </a:prstGeom>
        <a:noFill/>
        <a:ln w="9525">
          <a:solidFill>
            <a:srgbClr val="000000"/>
          </a:solidFill>
          <a:round/>
          <a:headEnd/>
          <a:tailEnd/>
        </a:ln>
      </xdr:spPr>
    </xdr:sp>
    <xdr:clientData/>
  </xdr:twoCellAnchor>
  <xdr:twoCellAnchor>
    <xdr:from>
      <xdr:col>18</xdr:col>
      <xdr:colOff>581025</xdr:colOff>
      <xdr:row>35</xdr:row>
      <xdr:rowOff>85725</xdr:rowOff>
    </xdr:from>
    <xdr:to>
      <xdr:col>19</xdr:col>
      <xdr:colOff>495300</xdr:colOff>
      <xdr:row>35</xdr:row>
      <xdr:rowOff>85725</xdr:rowOff>
    </xdr:to>
    <xdr:sp macro="" textlink="">
      <xdr:nvSpPr>
        <xdr:cNvPr id="1295" name="Line 271"/>
        <xdr:cNvSpPr>
          <a:spLocks noChangeShapeType="1"/>
        </xdr:cNvSpPr>
      </xdr:nvSpPr>
      <xdr:spPr bwMode="auto">
        <a:xfrm>
          <a:off x="11172825" y="6372225"/>
          <a:ext cx="523875" cy="0"/>
        </a:xfrm>
        <a:prstGeom prst="line">
          <a:avLst/>
        </a:prstGeom>
        <a:noFill/>
        <a:ln w="9525">
          <a:solidFill>
            <a:srgbClr val="FF0000"/>
          </a:solidFill>
          <a:round/>
          <a:headEnd/>
          <a:tailEnd type="triangle" w="med" len="med"/>
        </a:ln>
      </xdr:spPr>
    </xdr:sp>
    <xdr:clientData/>
  </xdr:twoCellAnchor>
  <xdr:twoCellAnchor>
    <xdr:from>
      <xdr:col>16</xdr:col>
      <xdr:colOff>361950</xdr:colOff>
      <xdr:row>39</xdr:row>
      <xdr:rowOff>85725</xdr:rowOff>
    </xdr:from>
    <xdr:to>
      <xdr:col>16</xdr:col>
      <xdr:colOff>495300</xdr:colOff>
      <xdr:row>39</xdr:row>
      <xdr:rowOff>85725</xdr:rowOff>
    </xdr:to>
    <xdr:sp macro="" textlink="">
      <xdr:nvSpPr>
        <xdr:cNvPr id="1296" name="Line 272"/>
        <xdr:cNvSpPr>
          <a:spLocks noChangeShapeType="1"/>
        </xdr:cNvSpPr>
      </xdr:nvSpPr>
      <xdr:spPr bwMode="auto">
        <a:xfrm>
          <a:off x="9734550" y="7067550"/>
          <a:ext cx="133350" cy="0"/>
        </a:xfrm>
        <a:prstGeom prst="line">
          <a:avLst/>
        </a:prstGeom>
        <a:noFill/>
        <a:ln w="9525">
          <a:solidFill>
            <a:srgbClr val="000000"/>
          </a:solidFill>
          <a:round/>
          <a:headEnd/>
          <a:tailEnd/>
        </a:ln>
      </xdr:spPr>
    </xdr:sp>
    <xdr:clientData/>
  </xdr:twoCellAnchor>
  <xdr:twoCellAnchor>
    <xdr:from>
      <xdr:col>19</xdr:col>
      <xdr:colOff>66675</xdr:colOff>
      <xdr:row>43</xdr:row>
      <xdr:rowOff>152400</xdr:rowOff>
    </xdr:from>
    <xdr:to>
      <xdr:col>19</xdr:col>
      <xdr:colOff>561975</xdr:colOff>
      <xdr:row>44</xdr:row>
      <xdr:rowOff>19050</xdr:rowOff>
    </xdr:to>
    <xdr:grpSp>
      <xdr:nvGrpSpPr>
        <xdr:cNvPr id="1425" name="Group 401"/>
        <xdr:cNvGrpSpPr>
          <a:grpSpLocks/>
        </xdr:cNvGrpSpPr>
      </xdr:nvGrpSpPr>
      <xdr:grpSpPr bwMode="auto">
        <a:xfrm>
          <a:off x="11391900" y="7820025"/>
          <a:ext cx="495300" cy="38100"/>
          <a:chOff x="1183" y="797"/>
          <a:chExt cx="52" cy="4"/>
        </a:xfrm>
      </xdr:grpSpPr>
      <xdr:sp macro="" textlink="">
        <xdr:nvSpPr>
          <xdr:cNvPr id="1298" name="Line 274"/>
          <xdr:cNvSpPr>
            <a:spLocks noChangeShapeType="1"/>
          </xdr:cNvSpPr>
        </xdr:nvSpPr>
        <xdr:spPr bwMode="auto">
          <a:xfrm>
            <a:off x="1184" y="797"/>
            <a:ext cx="51" cy="0"/>
          </a:xfrm>
          <a:prstGeom prst="line">
            <a:avLst/>
          </a:prstGeom>
          <a:noFill/>
          <a:ln w="9525">
            <a:solidFill>
              <a:srgbClr val="FF0000"/>
            </a:solidFill>
            <a:round/>
            <a:headEnd/>
            <a:tailEnd type="triangle" w="med" len="med"/>
          </a:ln>
        </xdr:spPr>
      </xdr:sp>
      <xdr:sp macro="" textlink="">
        <xdr:nvSpPr>
          <xdr:cNvPr id="1299" name="Line 275"/>
          <xdr:cNvSpPr>
            <a:spLocks noChangeShapeType="1"/>
          </xdr:cNvSpPr>
        </xdr:nvSpPr>
        <xdr:spPr bwMode="auto">
          <a:xfrm flipH="1">
            <a:off x="1183" y="801"/>
            <a:ext cx="52" cy="0"/>
          </a:xfrm>
          <a:prstGeom prst="line">
            <a:avLst/>
          </a:prstGeom>
          <a:noFill/>
          <a:ln w="9525">
            <a:solidFill>
              <a:srgbClr val="FF0000"/>
            </a:solidFill>
            <a:round/>
            <a:headEnd/>
            <a:tailEnd type="triangle" w="med" len="med"/>
          </a:ln>
        </xdr:spPr>
      </xdr:sp>
    </xdr:grpSp>
    <xdr:clientData/>
  </xdr:twoCellAnchor>
  <xdr:twoCellAnchor>
    <xdr:from>
      <xdr:col>19</xdr:col>
      <xdr:colOff>238125</xdr:colOff>
      <xdr:row>42</xdr:row>
      <xdr:rowOff>152400</xdr:rowOff>
    </xdr:from>
    <xdr:to>
      <xdr:col>19</xdr:col>
      <xdr:colOff>361950</xdr:colOff>
      <xdr:row>43</xdr:row>
      <xdr:rowOff>133350</xdr:rowOff>
    </xdr:to>
    <xdr:sp macro="" textlink="">
      <xdr:nvSpPr>
        <xdr:cNvPr id="1301" name="Text Box 277"/>
        <xdr:cNvSpPr txBox="1">
          <a:spLocks noChangeArrowheads="1"/>
        </xdr:cNvSpPr>
      </xdr:nvSpPr>
      <xdr:spPr bwMode="auto">
        <a:xfrm>
          <a:off x="11439525" y="7648575"/>
          <a:ext cx="123825" cy="152400"/>
        </a:xfrm>
        <a:prstGeom prst="rect">
          <a:avLst/>
        </a:prstGeom>
        <a:solidFill>
          <a:srgbClr val="000000"/>
        </a:solidFill>
        <a:ln w="9525">
          <a:noFill/>
          <a:miter lim="800000"/>
          <a:headEnd/>
          <a:tailEnd/>
        </a:ln>
      </xdr:spPr>
      <xdr:txBody>
        <a:bodyPr vertOverflow="clip" wrap="square" lIns="27432" tIns="22860" rIns="0" bIns="0" anchor="t" upright="1"/>
        <a:lstStyle/>
        <a:p>
          <a:pPr algn="l" rtl="0">
            <a:defRPr sz="1000"/>
          </a:pPr>
          <a:r>
            <a:rPr lang="el-GR" sz="1000" b="1" i="0" strike="noStrike">
              <a:solidFill>
                <a:srgbClr val="FF9900"/>
              </a:solidFill>
              <a:latin typeface="Arial"/>
              <a:cs typeface="Arial"/>
            </a:rPr>
            <a:t>1</a:t>
          </a:r>
        </a:p>
      </xdr:txBody>
    </xdr:sp>
    <xdr:clientData/>
  </xdr:twoCellAnchor>
  <xdr:twoCellAnchor>
    <xdr:from>
      <xdr:col>19</xdr:col>
      <xdr:colOff>257175</xdr:colOff>
      <xdr:row>44</xdr:row>
      <xdr:rowOff>28575</xdr:rowOff>
    </xdr:from>
    <xdr:to>
      <xdr:col>19</xdr:col>
      <xdr:colOff>400050</xdr:colOff>
      <xdr:row>45</xdr:row>
      <xdr:rowOff>0</xdr:rowOff>
    </xdr:to>
    <xdr:sp macro="" textlink="">
      <xdr:nvSpPr>
        <xdr:cNvPr id="1302" name="Text Box 278"/>
        <xdr:cNvSpPr txBox="1">
          <a:spLocks noChangeArrowheads="1"/>
        </xdr:cNvSpPr>
      </xdr:nvSpPr>
      <xdr:spPr bwMode="auto">
        <a:xfrm>
          <a:off x="11458575" y="7934325"/>
          <a:ext cx="142875" cy="142875"/>
        </a:xfrm>
        <a:prstGeom prst="rect">
          <a:avLst/>
        </a:prstGeom>
        <a:solidFill>
          <a:srgbClr val="000000"/>
        </a:solidFill>
        <a:ln w="9525">
          <a:noFill/>
          <a:miter lim="800000"/>
          <a:headEnd/>
          <a:tailEnd/>
        </a:ln>
      </xdr:spPr>
      <xdr:txBody>
        <a:bodyPr vertOverflow="clip" wrap="square" lIns="27432" tIns="22860" rIns="0" bIns="0" anchor="t" upright="1"/>
        <a:lstStyle/>
        <a:p>
          <a:pPr algn="l" rtl="0">
            <a:defRPr sz="1000"/>
          </a:pPr>
          <a:r>
            <a:rPr lang="el-GR" sz="1000" b="1" i="0" strike="noStrike">
              <a:solidFill>
                <a:srgbClr val="FF9900"/>
              </a:solidFill>
              <a:latin typeface="Arial"/>
              <a:cs typeface="Arial"/>
            </a:rPr>
            <a:t>2</a:t>
          </a:r>
        </a:p>
      </xdr:txBody>
    </xdr:sp>
    <xdr:clientData/>
  </xdr:twoCellAnchor>
  <xdr:twoCellAnchor>
    <xdr:from>
      <xdr:col>20</xdr:col>
      <xdr:colOff>400050</xdr:colOff>
      <xdr:row>75</xdr:row>
      <xdr:rowOff>66675</xdr:rowOff>
    </xdr:from>
    <xdr:to>
      <xdr:col>20</xdr:col>
      <xdr:colOff>400050</xdr:colOff>
      <xdr:row>76</xdr:row>
      <xdr:rowOff>142875</xdr:rowOff>
    </xdr:to>
    <xdr:sp macro="" textlink="">
      <xdr:nvSpPr>
        <xdr:cNvPr id="1323" name="Line 299"/>
        <xdr:cNvSpPr>
          <a:spLocks noChangeShapeType="1"/>
        </xdr:cNvSpPr>
      </xdr:nvSpPr>
      <xdr:spPr bwMode="auto">
        <a:xfrm flipV="1">
          <a:off x="12211050" y="13439775"/>
          <a:ext cx="0" cy="238125"/>
        </a:xfrm>
        <a:prstGeom prst="line">
          <a:avLst/>
        </a:prstGeom>
        <a:noFill/>
        <a:ln w="9525">
          <a:solidFill>
            <a:srgbClr val="800000"/>
          </a:solidFill>
          <a:round/>
          <a:headEnd/>
          <a:tailEnd type="triangle" w="med" len="med"/>
        </a:ln>
      </xdr:spPr>
    </xdr:sp>
    <xdr:clientData/>
  </xdr:twoCellAnchor>
  <xdr:twoCellAnchor>
    <xdr:from>
      <xdr:col>15</xdr:col>
      <xdr:colOff>381000</xdr:colOff>
      <xdr:row>49</xdr:row>
      <xdr:rowOff>38100</xdr:rowOff>
    </xdr:from>
    <xdr:to>
      <xdr:col>15</xdr:col>
      <xdr:colOff>495300</xdr:colOff>
      <xdr:row>49</xdr:row>
      <xdr:rowOff>152400</xdr:rowOff>
    </xdr:to>
    <xdr:sp macro="" textlink="">
      <xdr:nvSpPr>
        <xdr:cNvPr id="1332" name="Oval 308"/>
        <xdr:cNvSpPr>
          <a:spLocks noChangeArrowheads="1"/>
        </xdr:cNvSpPr>
      </xdr:nvSpPr>
      <xdr:spPr bwMode="auto">
        <a:xfrm>
          <a:off x="9144000" y="8782050"/>
          <a:ext cx="114300" cy="114300"/>
        </a:xfrm>
        <a:prstGeom prst="ellipse">
          <a:avLst/>
        </a:prstGeom>
        <a:gradFill rotWithShape="0">
          <a:gsLst>
            <a:gs pos="0">
              <a:srgbClr val="FF9900"/>
            </a:gs>
            <a:gs pos="100000">
              <a:srgbClr val="FF9900">
                <a:gamma/>
                <a:shade val="46275"/>
                <a:invGamma/>
              </a:srgbClr>
            </a:gs>
          </a:gsLst>
          <a:lin ang="2700000" scaled="1"/>
        </a:gradFill>
        <a:ln w="9525">
          <a:solidFill>
            <a:srgbClr val="000000"/>
          </a:solidFill>
          <a:round/>
          <a:headEnd/>
          <a:tailEnd/>
        </a:ln>
      </xdr:spPr>
    </xdr:sp>
    <xdr:clientData/>
  </xdr:twoCellAnchor>
  <xdr:twoCellAnchor>
    <xdr:from>
      <xdr:col>15</xdr:col>
      <xdr:colOff>381000</xdr:colOff>
      <xdr:row>53</xdr:row>
      <xdr:rowOff>38100</xdr:rowOff>
    </xdr:from>
    <xdr:to>
      <xdr:col>15</xdr:col>
      <xdr:colOff>495300</xdr:colOff>
      <xdr:row>53</xdr:row>
      <xdr:rowOff>152400</xdr:rowOff>
    </xdr:to>
    <xdr:sp macro="" textlink="">
      <xdr:nvSpPr>
        <xdr:cNvPr id="1333" name="Oval 309"/>
        <xdr:cNvSpPr>
          <a:spLocks noChangeArrowheads="1"/>
        </xdr:cNvSpPr>
      </xdr:nvSpPr>
      <xdr:spPr bwMode="auto">
        <a:xfrm>
          <a:off x="9144000" y="9439275"/>
          <a:ext cx="114300" cy="114300"/>
        </a:xfrm>
        <a:prstGeom prst="ellipse">
          <a:avLst/>
        </a:prstGeom>
        <a:gradFill rotWithShape="0">
          <a:gsLst>
            <a:gs pos="0">
              <a:srgbClr val="FF9900"/>
            </a:gs>
            <a:gs pos="100000">
              <a:srgbClr val="FF9900">
                <a:gamma/>
                <a:shade val="46275"/>
                <a:invGamma/>
              </a:srgbClr>
            </a:gs>
          </a:gsLst>
          <a:lin ang="2700000" scaled="1"/>
        </a:gradFill>
        <a:ln w="9525">
          <a:solidFill>
            <a:srgbClr val="000000"/>
          </a:solidFill>
          <a:round/>
          <a:headEnd/>
          <a:tailEnd/>
        </a:ln>
      </xdr:spPr>
    </xdr:sp>
    <xdr:clientData/>
  </xdr:twoCellAnchor>
  <xdr:twoCellAnchor>
    <xdr:from>
      <xdr:col>15</xdr:col>
      <xdr:colOff>381000</xdr:colOff>
      <xdr:row>56</xdr:row>
      <xdr:rowOff>38100</xdr:rowOff>
    </xdr:from>
    <xdr:to>
      <xdr:col>15</xdr:col>
      <xdr:colOff>495300</xdr:colOff>
      <xdr:row>56</xdr:row>
      <xdr:rowOff>152400</xdr:rowOff>
    </xdr:to>
    <xdr:sp macro="" textlink="">
      <xdr:nvSpPr>
        <xdr:cNvPr id="1334" name="Oval 310"/>
        <xdr:cNvSpPr>
          <a:spLocks noChangeArrowheads="1"/>
        </xdr:cNvSpPr>
      </xdr:nvSpPr>
      <xdr:spPr bwMode="auto">
        <a:xfrm>
          <a:off x="9144000" y="10020300"/>
          <a:ext cx="114300" cy="114300"/>
        </a:xfrm>
        <a:prstGeom prst="ellipse">
          <a:avLst/>
        </a:prstGeom>
        <a:gradFill rotWithShape="0">
          <a:gsLst>
            <a:gs pos="0">
              <a:srgbClr val="FF9900"/>
            </a:gs>
            <a:gs pos="100000">
              <a:srgbClr val="FF9900">
                <a:gamma/>
                <a:shade val="46275"/>
                <a:invGamma/>
              </a:srgbClr>
            </a:gs>
          </a:gsLst>
          <a:lin ang="2700000" scaled="1"/>
        </a:gradFill>
        <a:ln w="9525">
          <a:solidFill>
            <a:srgbClr val="000000"/>
          </a:solidFill>
          <a:round/>
          <a:headEnd/>
          <a:tailEnd/>
        </a:ln>
      </xdr:spPr>
    </xdr:sp>
    <xdr:clientData/>
  </xdr:twoCellAnchor>
  <xdr:twoCellAnchor>
    <xdr:from>
      <xdr:col>15</xdr:col>
      <xdr:colOff>381000</xdr:colOff>
      <xdr:row>58</xdr:row>
      <xdr:rowOff>38100</xdr:rowOff>
    </xdr:from>
    <xdr:to>
      <xdr:col>15</xdr:col>
      <xdr:colOff>495300</xdr:colOff>
      <xdr:row>58</xdr:row>
      <xdr:rowOff>152400</xdr:rowOff>
    </xdr:to>
    <xdr:sp macro="" textlink="">
      <xdr:nvSpPr>
        <xdr:cNvPr id="1335" name="Oval 311"/>
        <xdr:cNvSpPr>
          <a:spLocks noChangeArrowheads="1"/>
        </xdr:cNvSpPr>
      </xdr:nvSpPr>
      <xdr:spPr bwMode="auto">
        <a:xfrm>
          <a:off x="9144000" y="10401300"/>
          <a:ext cx="114300" cy="114300"/>
        </a:xfrm>
        <a:prstGeom prst="ellipse">
          <a:avLst/>
        </a:prstGeom>
        <a:gradFill rotWithShape="0">
          <a:gsLst>
            <a:gs pos="0">
              <a:srgbClr val="FF9900"/>
            </a:gs>
            <a:gs pos="100000">
              <a:srgbClr val="FF9900">
                <a:gamma/>
                <a:shade val="46275"/>
                <a:invGamma/>
              </a:srgbClr>
            </a:gs>
          </a:gsLst>
          <a:lin ang="2700000" scaled="1"/>
        </a:gradFill>
        <a:ln w="9525">
          <a:solidFill>
            <a:srgbClr val="000000"/>
          </a:solidFill>
          <a:round/>
          <a:headEnd/>
          <a:tailEnd/>
        </a:ln>
      </xdr:spPr>
    </xdr:sp>
    <xdr:clientData/>
  </xdr:twoCellAnchor>
  <xdr:twoCellAnchor>
    <xdr:from>
      <xdr:col>15</xdr:col>
      <xdr:colOff>381000</xdr:colOff>
      <xdr:row>63</xdr:row>
      <xdr:rowOff>38100</xdr:rowOff>
    </xdr:from>
    <xdr:to>
      <xdr:col>15</xdr:col>
      <xdr:colOff>495300</xdr:colOff>
      <xdr:row>63</xdr:row>
      <xdr:rowOff>152400</xdr:rowOff>
    </xdr:to>
    <xdr:sp macro="" textlink="">
      <xdr:nvSpPr>
        <xdr:cNvPr id="1336" name="Oval 312"/>
        <xdr:cNvSpPr>
          <a:spLocks noChangeArrowheads="1"/>
        </xdr:cNvSpPr>
      </xdr:nvSpPr>
      <xdr:spPr bwMode="auto">
        <a:xfrm>
          <a:off x="9144000" y="11334750"/>
          <a:ext cx="114300" cy="114300"/>
        </a:xfrm>
        <a:prstGeom prst="ellipse">
          <a:avLst/>
        </a:prstGeom>
        <a:gradFill rotWithShape="0">
          <a:gsLst>
            <a:gs pos="0">
              <a:srgbClr val="FF9900"/>
            </a:gs>
            <a:gs pos="100000">
              <a:srgbClr val="FF9900">
                <a:gamma/>
                <a:shade val="46275"/>
                <a:invGamma/>
              </a:srgbClr>
            </a:gs>
          </a:gsLst>
          <a:lin ang="2700000" scaled="1"/>
        </a:gradFill>
        <a:ln w="9525">
          <a:solidFill>
            <a:srgbClr val="000000"/>
          </a:solidFill>
          <a:round/>
          <a:headEnd/>
          <a:tailEnd/>
        </a:ln>
      </xdr:spPr>
    </xdr:sp>
    <xdr:clientData/>
  </xdr:twoCellAnchor>
  <xdr:twoCellAnchor>
    <xdr:from>
      <xdr:col>15</xdr:col>
      <xdr:colOff>381000</xdr:colOff>
      <xdr:row>66</xdr:row>
      <xdr:rowOff>38100</xdr:rowOff>
    </xdr:from>
    <xdr:to>
      <xdr:col>15</xdr:col>
      <xdr:colOff>495300</xdr:colOff>
      <xdr:row>66</xdr:row>
      <xdr:rowOff>152400</xdr:rowOff>
    </xdr:to>
    <xdr:sp macro="" textlink="">
      <xdr:nvSpPr>
        <xdr:cNvPr id="1337" name="Oval 313"/>
        <xdr:cNvSpPr>
          <a:spLocks noChangeArrowheads="1"/>
        </xdr:cNvSpPr>
      </xdr:nvSpPr>
      <xdr:spPr bwMode="auto">
        <a:xfrm>
          <a:off x="9144000" y="11839575"/>
          <a:ext cx="114300" cy="114300"/>
        </a:xfrm>
        <a:prstGeom prst="ellipse">
          <a:avLst/>
        </a:prstGeom>
        <a:gradFill rotWithShape="0">
          <a:gsLst>
            <a:gs pos="0">
              <a:srgbClr val="FF9900"/>
            </a:gs>
            <a:gs pos="100000">
              <a:srgbClr val="FF9900">
                <a:gamma/>
                <a:shade val="46275"/>
                <a:invGamma/>
              </a:srgbClr>
            </a:gs>
          </a:gsLst>
          <a:lin ang="2700000" scaled="1"/>
        </a:gradFill>
        <a:ln w="9525">
          <a:solidFill>
            <a:srgbClr val="000000"/>
          </a:solidFill>
          <a:round/>
          <a:headEnd/>
          <a:tailEnd/>
        </a:ln>
      </xdr:spPr>
    </xdr:sp>
    <xdr:clientData/>
  </xdr:twoCellAnchor>
  <xdr:twoCellAnchor>
    <xdr:from>
      <xdr:col>15</xdr:col>
      <xdr:colOff>381000</xdr:colOff>
      <xdr:row>80</xdr:row>
      <xdr:rowOff>38100</xdr:rowOff>
    </xdr:from>
    <xdr:to>
      <xdr:col>15</xdr:col>
      <xdr:colOff>495300</xdr:colOff>
      <xdr:row>80</xdr:row>
      <xdr:rowOff>152400</xdr:rowOff>
    </xdr:to>
    <xdr:sp macro="" textlink="">
      <xdr:nvSpPr>
        <xdr:cNvPr id="1338" name="Oval 314"/>
        <xdr:cNvSpPr>
          <a:spLocks noChangeArrowheads="1"/>
        </xdr:cNvSpPr>
      </xdr:nvSpPr>
      <xdr:spPr bwMode="auto">
        <a:xfrm>
          <a:off x="9144000" y="14249400"/>
          <a:ext cx="114300" cy="114300"/>
        </a:xfrm>
        <a:prstGeom prst="ellipse">
          <a:avLst/>
        </a:prstGeom>
        <a:gradFill rotWithShape="0">
          <a:gsLst>
            <a:gs pos="0">
              <a:srgbClr val="FF9900"/>
            </a:gs>
            <a:gs pos="100000">
              <a:srgbClr val="FF9900">
                <a:gamma/>
                <a:shade val="46275"/>
                <a:invGamma/>
              </a:srgbClr>
            </a:gs>
          </a:gsLst>
          <a:lin ang="2700000" scaled="1"/>
        </a:gradFill>
        <a:ln w="9525">
          <a:solidFill>
            <a:srgbClr val="000000"/>
          </a:solidFill>
          <a:round/>
          <a:headEnd/>
          <a:tailEnd/>
        </a:ln>
      </xdr:spPr>
    </xdr:sp>
    <xdr:clientData/>
  </xdr:twoCellAnchor>
  <xdr:twoCellAnchor>
    <xdr:from>
      <xdr:col>15</xdr:col>
      <xdr:colOff>571500</xdr:colOff>
      <xdr:row>117</xdr:row>
      <xdr:rowOff>0</xdr:rowOff>
    </xdr:from>
    <xdr:to>
      <xdr:col>17</xdr:col>
      <xdr:colOff>600075</xdr:colOff>
      <xdr:row>117</xdr:row>
      <xdr:rowOff>47625</xdr:rowOff>
    </xdr:to>
    <xdr:grpSp>
      <xdr:nvGrpSpPr>
        <xdr:cNvPr id="1344" name="Group 320"/>
        <xdr:cNvGrpSpPr>
          <a:grpSpLocks/>
        </xdr:cNvGrpSpPr>
      </xdr:nvGrpSpPr>
      <xdr:grpSpPr bwMode="auto">
        <a:xfrm>
          <a:off x="9458325" y="20554950"/>
          <a:ext cx="1247775" cy="47625"/>
          <a:chOff x="980" y="2067"/>
          <a:chExt cx="131" cy="5"/>
        </a:xfrm>
      </xdr:grpSpPr>
      <xdr:sp macro="" textlink="">
        <xdr:nvSpPr>
          <xdr:cNvPr id="1340" name="Line 316"/>
          <xdr:cNvSpPr>
            <a:spLocks noChangeShapeType="1"/>
          </xdr:cNvSpPr>
        </xdr:nvSpPr>
        <xdr:spPr bwMode="auto">
          <a:xfrm>
            <a:off x="980" y="2069"/>
            <a:ext cx="83" cy="0"/>
          </a:xfrm>
          <a:prstGeom prst="line">
            <a:avLst/>
          </a:prstGeom>
          <a:noFill/>
          <a:ln w="19050">
            <a:solidFill>
              <a:srgbClr val="FF0000"/>
            </a:solidFill>
            <a:round/>
            <a:headEnd/>
            <a:tailEnd/>
          </a:ln>
        </xdr:spPr>
      </xdr:sp>
      <xdr:sp macro="" textlink="">
        <xdr:nvSpPr>
          <xdr:cNvPr id="1341" name="Line 317"/>
          <xdr:cNvSpPr>
            <a:spLocks noChangeShapeType="1"/>
          </xdr:cNvSpPr>
        </xdr:nvSpPr>
        <xdr:spPr bwMode="auto">
          <a:xfrm>
            <a:off x="1067" y="2067"/>
            <a:ext cx="9" cy="0"/>
          </a:xfrm>
          <a:prstGeom prst="line">
            <a:avLst/>
          </a:prstGeom>
          <a:noFill/>
          <a:ln w="19050">
            <a:solidFill>
              <a:srgbClr val="FF0000"/>
            </a:solidFill>
            <a:round/>
            <a:headEnd/>
            <a:tailEnd/>
          </a:ln>
        </xdr:spPr>
      </xdr:sp>
      <xdr:sp macro="" textlink="">
        <xdr:nvSpPr>
          <xdr:cNvPr id="1342" name="Line 318"/>
          <xdr:cNvSpPr>
            <a:spLocks noChangeShapeType="1"/>
          </xdr:cNvSpPr>
        </xdr:nvSpPr>
        <xdr:spPr bwMode="auto">
          <a:xfrm>
            <a:off x="1068" y="2072"/>
            <a:ext cx="8" cy="0"/>
          </a:xfrm>
          <a:prstGeom prst="line">
            <a:avLst/>
          </a:prstGeom>
          <a:noFill/>
          <a:ln w="19050">
            <a:solidFill>
              <a:srgbClr val="FF0000"/>
            </a:solidFill>
            <a:round/>
            <a:headEnd/>
            <a:tailEnd/>
          </a:ln>
        </xdr:spPr>
      </xdr:sp>
      <xdr:sp macro="" textlink="">
        <xdr:nvSpPr>
          <xdr:cNvPr id="1343" name="Line 319"/>
          <xdr:cNvSpPr>
            <a:spLocks noChangeShapeType="1"/>
          </xdr:cNvSpPr>
        </xdr:nvSpPr>
        <xdr:spPr bwMode="auto">
          <a:xfrm>
            <a:off x="1081" y="2069"/>
            <a:ext cx="30" cy="0"/>
          </a:xfrm>
          <a:prstGeom prst="line">
            <a:avLst/>
          </a:prstGeom>
          <a:noFill/>
          <a:ln w="19050">
            <a:solidFill>
              <a:srgbClr val="FF0000"/>
            </a:solidFill>
            <a:round/>
            <a:headEnd/>
            <a:tailEnd/>
          </a:ln>
        </xdr:spPr>
      </xdr:sp>
    </xdr:grpSp>
    <xdr:clientData/>
  </xdr:twoCellAnchor>
  <xdr:twoCellAnchor>
    <xdr:from>
      <xdr:col>15</xdr:col>
      <xdr:colOff>600075</xdr:colOff>
      <xdr:row>136</xdr:row>
      <xdr:rowOff>104775</xdr:rowOff>
    </xdr:from>
    <xdr:to>
      <xdr:col>18</xdr:col>
      <xdr:colOff>0</xdr:colOff>
      <xdr:row>137</xdr:row>
      <xdr:rowOff>38100</xdr:rowOff>
    </xdr:to>
    <xdr:grpSp>
      <xdr:nvGrpSpPr>
        <xdr:cNvPr id="1369" name="Group 345"/>
        <xdr:cNvGrpSpPr>
          <a:grpSpLocks/>
        </xdr:cNvGrpSpPr>
      </xdr:nvGrpSpPr>
      <xdr:grpSpPr bwMode="auto">
        <a:xfrm>
          <a:off x="9486900" y="23974425"/>
          <a:ext cx="1228725" cy="104775"/>
          <a:chOff x="983" y="2402"/>
          <a:chExt cx="129" cy="5"/>
        </a:xfrm>
      </xdr:grpSpPr>
      <xdr:sp macro="" textlink="">
        <xdr:nvSpPr>
          <xdr:cNvPr id="1345" name="Line 321"/>
          <xdr:cNvSpPr>
            <a:spLocks noChangeShapeType="1"/>
          </xdr:cNvSpPr>
        </xdr:nvSpPr>
        <xdr:spPr bwMode="auto">
          <a:xfrm>
            <a:off x="983" y="2405"/>
            <a:ext cx="106" cy="0"/>
          </a:xfrm>
          <a:prstGeom prst="line">
            <a:avLst/>
          </a:prstGeom>
          <a:noFill/>
          <a:ln w="19050">
            <a:solidFill>
              <a:srgbClr val="FF0000"/>
            </a:solidFill>
            <a:round/>
            <a:headEnd/>
            <a:tailEnd/>
          </a:ln>
        </xdr:spPr>
      </xdr:sp>
      <xdr:sp macro="" textlink="">
        <xdr:nvSpPr>
          <xdr:cNvPr id="1346" name="Line 322"/>
          <xdr:cNvSpPr>
            <a:spLocks noChangeShapeType="1"/>
          </xdr:cNvSpPr>
        </xdr:nvSpPr>
        <xdr:spPr bwMode="auto">
          <a:xfrm>
            <a:off x="1093" y="2407"/>
            <a:ext cx="19" cy="0"/>
          </a:xfrm>
          <a:prstGeom prst="line">
            <a:avLst/>
          </a:prstGeom>
          <a:noFill/>
          <a:ln w="19050">
            <a:solidFill>
              <a:srgbClr val="FF0000"/>
            </a:solidFill>
            <a:round/>
            <a:headEnd/>
            <a:tailEnd/>
          </a:ln>
        </xdr:spPr>
      </xdr:sp>
      <xdr:sp macro="" textlink="">
        <xdr:nvSpPr>
          <xdr:cNvPr id="1347" name="Line 323"/>
          <xdr:cNvSpPr>
            <a:spLocks noChangeShapeType="1"/>
          </xdr:cNvSpPr>
        </xdr:nvSpPr>
        <xdr:spPr bwMode="auto">
          <a:xfrm>
            <a:off x="1093" y="2402"/>
            <a:ext cx="19" cy="0"/>
          </a:xfrm>
          <a:prstGeom prst="line">
            <a:avLst/>
          </a:prstGeom>
          <a:noFill/>
          <a:ln w="19050">
            <a:solidFill>
              <a:srgbClr val="FF0000"/>
            </a:solidFill>
            <a:round/>
            <a:headEnd/>
            <a:tailEnd/>
          </a:ln>
        </xdr:spPr>
      </xdr:sp>
    </xdr:grpSp>
    <xdr:clientData/>
  </xdr:twoCellAnchor>
  <xdr:twoCellAnchor>
    <xdr:from>
      <xdr:col>18</xdr:col>
      <xdr:colOff>571500</xdr:colOff>
      <xdr:row>159</xdr:row>
      <xdr:rowOff>28575</xdr:rowOff>
    </xdr:from>
    <xdr:to>
      <xdr:col>21</xdr:col>
      <xdr:colOff>123825</xdr:colOff>
      <xdr:row>160</xdr:row>
      <xdr:rowOff>114300</xdr:rowOff>
    </xdr:to>
    <xdr:grpSp>
      <xdr:nvGrpSpPr>
        <xdr:cNvPr id="1390" name="Group 366"/>
        <xdr:cNvGrpSpPr>
          <a:grpSpLocks/>
        </xdr:cNvGrpSpPr>
      </xdr:nvGrpSpPr>
      <xdr:grpSpPr bwMode="auto">
        <a:xfrm>
          <a:off x="11287125" y="28070175"/>
          <a:ext cx="1381125" cy="257175"/>
          <a:chOff x="1172" y="2803"/>
          <a:chExt cx="145" cy="26"/>
        </a:xfrm>
      </xdr:grpSpPr>
      <xdr:sp macro="" textlink="">
        <xdr:nvSpPr>
          <xdr:cNvPr id="1376" name="Line 352"/>
          <xdr:cNvSpPr>
            <a:spLocks noChangeShapeType="1"/>
          </xdr:cNvSpPr>
        </xdr:nvSpPr>
        <xdr:spPr bwMode="auto">
          <a:xfrm>
            <a:off x="1172" y="2819"/>
            <a:ext cx="83" cy="0"/>
          </a:xfrm>
          <a:prstGeom prst="line">
            <a:avLst/>
          </a:prstGeom>
          <a:noFill/>
          <a:ln w="19050">
            <a:solidFill>
              <a:srgbClr val="FF0000"/>
            </a:solidFill>
            <a:round/>
            <a:headEnd/>
            <a:tailEnd/>
          </a:ln>
        </xdr:spPr>
      </xdr:sp>
      <xdr:sp macro="" textlink="">
        <xdr:nvSpPr>
          <xdr:cNvPr id="1379" name="Line 355"/>
          <xdr:cNvSpPr>
            <a:spLocks noChangeShapeType="1"/>
          </xdr:cNvSpPr>
        </xdr:nvSpPr>
        <xdr:spPr bwMode="auto">
          <a:xfrm>
            <a:off x="1287" y="2819"/>
            <a:ext cx="30" cy="0"/>
          </a:xfrm>
          <a:prstGeom prst="line">
            <a:avLst/>
          </a:prstGeom>
          <a:noFill/>
          <a:ln w="19050">
            <a:solidFill>
              <a:srgbClr val="FF0000"/>
            </a:solidFill>
            <a:round/>
            <a:headEnd/>
            <a:tailEnd/>
          </a:ln>
        </xdr:spPr>
      </xdr:sp>
      <xdr:sp macro="" textlink="">
        <xdr:nvSpPr>
          <xdr:cNvPr id="1389" name="Text Box 365"/>
          <xdr:cNvSpPr txBox="1">
            <a:spLocks noChangeArrowheads="1"/>
          </xdr:cNvSpPr>
        </xdr:nvSpPr>
        <xdr:spPr bwMode="auto">
          <a:xfrm>
            <a:off x="1261" y="2803"/>
            <a:ext cx="21" cy="26"/>
          </a:xfrm>
          <a:prstGeom prst="rect">
            <a:avLst/>
          </a:prstGeom>
          <a:solidFill>
            <a:srgbClr val="000000"/>
          </a:solidFill>
          <a:ln w="9525">
            <a:noFill/>
            <a:miter lim="800000"/>
            <a:headEnd/>
            <a:tailEnd/>
          </a:ln>
        </xdr:spPr>
        <xdr:txBody>
          <a:bodyPr vertOverflow="clip" wrap="square" lIns="45720" tIns="36576" rIns="0" bIns="0" anchor="t" upright="1"/>
          <a:lstStyle/>
          <a:p>
            <a:pPr algn="l" rtl="0">
              <a:defRPr sz="1000"/>
            </a:pPr>
            <a:r>
              <a:rPr lang="el-GR" sz="1800" b="0" i="0" strike="noStrike">
                <a:solidFill>
                  <a:srgbClr val="FF0000"/>
                </a:solidFill>
                <a:latin typeface="Arial"/>
                <a:cs typeface="Arial"/>
              </a:rPr>
              <a:t>&gt;</a:t>
            </a:r>
          </a:p>
        </xdr:txBody>
      </xdr:sp>
    </xdr:grpSp>
    <xdr:clientData/>
  </xdr:twoCellAnchor>
  <xdr:twoCellAnchor>
    <xdr:from>
      <xdr:col>19</xdr:col>
      <xdr:colOff>533400</xdr:colOff>
      <xdr:row>180</xdr:row>
      <xdr:rowOff>9525</xdr:rowOff>
    </xdr:from>
    <xdr:to>
      <xdr:col>20</xdr:col>
      <xdr:colOff>457200</xdr:colOff>
      <xdr:row>180</xdr:row>
      <xdr:rowOff>9525</xdr:rowOff>
    </xdr:to>
    <xdr:sp macro="" textlink="">
      <xdr:nvSpPr>
        <xdr:cNvPr id="1399" name="Line 375"/>
        <xdr:cNvSpPr>
          <a:spLocks noChangeShapeType="1"/>
        </xdr:cNvSpPr>
      </xdr:nvSpPr>
      <xdr:spPr bwMode="auto">
        <a:xfrm>
          <a:off x="11734800" y="30537150"/>
          <a:ext cx="533400" cy="0"/>
        </a:xfrm>
        <a:prstGeom prst="line">
          <a:avLst/>
        </a:prstGeom>
        <a:noFill/>
        <a:ln w="19050">
          <a:solidFill>
            <a:srgbClr val="FF0000"/>
          </a:solidFill>
          <a:prstDash val="lgDashDotDot"/>
          <a:round/>
          <a:headEnd type="triangle" w="med" len="med"/>
          <a:tailEnd/>
        </a:ln>
      </xdr:spPr>
    </xdr:sp>
    <xdr:clientData/>
  </xdr:twoCellAnchor>
  <xdr:twoCellAnchor>
    <xdr:from>
      <xdr:col>19</xdr:col>
      <xdr:colOff>85725</xdr:colOff>
      <xdr:row>183</xdr:row>
      <xdr:rowOff>57150</xdr:rowOff>
    </xdr:from>
    <xdr:to>
      <xdr:col>20</xdr:col>
      <xdr:colOff>9525</xdr:colOff>
      <xdr:row>183</xdr:row>
      <xdr:rowOff>57150</xdr:rowOff>
    </xdr:to>
    <xdr:sp macro="" textlink="">
      <xdr:nvSpPr>
        <xdr:cNvPr id="1400" name="Line 376"/>
        <xdr:cNvSpPr>
          <a:spLocks noChangeShapeType="1"/>
        </xdr:cNvSpPr>
      </xdr:nvSpPr>
      <xdr:spPr bwMode="auto">
        <a:xfrm>
          <a:off x="11287125" y="31051500"/>
          <a:ext cx="533400" cy="0"/>
        </a:xfrm>
        <a:prstGeom prst="line">
          <a:avLst/>
        </a:prstGeom>
        <a:noFill/>
        <a:ln w="19050">
          <a:solidFill>
            <a:srgbClr val="FF0000"/>
          </a:solidFill>
          <a:prstDash val="lgDashDotDot"/>
          <a:round/>
          <a:headEnd/>
          <a:tailEnd type="triangle" w="med" len="med"/>
        </a:ln>
      </xdr:spPr>
    </xdr:sp>
    <xdr:clientData/>
  </xdr:twoCellAnchor>
  <xdr:twoCellAnchor>
    <xdr:from>
      <xdr:col>15</xdr:col>
      <xdr:colOff>38100</xdr:colOff>
      <xdr:row>184</xdr:row>
      <xdr:rowOff>104775</xdr:rowOff>
    </xdr:from>
    <xdr:to>
      <xdr:col>16</xdr:col>
      <xdr:colOff>285750</xdr:colOff>
      <xdr:row>185</xdr:row>
      <xdr:rowOff>142875</xdr:rowOff>
    </xdr:to>
    <xdr:sp macro="" textlink="">
      <xdr:nvSpPr>
        <xdr:cNvPr id="1401" name="Text Box 377"/>
        <xdr:cNvSpPr txBox="1">
          <a:spLocks noChangeArrowheads="1"/>
        </xdr:cNvSpPr>
      </xdr:nvSpPr>
      <xdr:spPr bwMode="auto">
        <a:xfrm>
          <a:off x="8801100" y="31270575"/>
          <a:ext cx="857250" cy="209550"/>
        </a:xfrm>
        <a:prstGeom prst="rect">
          <a:avLst/>
        </a:prstGeom>
        <a:gradFill rotWithShape="1">
          <a:gsLst>
            <a:gs pos="0">
              <a:srgbClr val="003300"/>
            </a:gs>
            <a:gs pos="100000">
              <a:srgbClr val="003300">
                <a:gamma/>
                <a:shade val="5098"/>
                <a:invGamma/>
              </a:srgbClr>
            </a:gs>
          </a:gsLst>
          <a:lin ang="2700000" scaled="1"/>
        </a:gradFill>
        <a:ln w="9525">
          <a:solidFill>
            <a:srgbClr val="FFFF99"/>
          </a:solidFill>
          <a:miter lim="800000"/>
          <a:headEnd/>
          <a:tailEnd/>
        </a:ln>
      </xdr:spPr>
      <xdr:txBody>
        <a:bodyPr vertOverflow="clip" wrap="square" lIns="27432" tIns="27432" rIns="0" bIns="0" anchor="t" upright="1"/>
        <a:lstStyle/>
        <a:p>
          <a:pPr algn="l" rtl="0">
            <a:defRPr sz="1000"/>
          </a:pPr>
          <a:r>
            <a:rPr lang="el-GR" sz="1100" b="1" i="0" strike="noStrike">
              <a:solidFill>
                <a:srgbClr val="FF9900"/>
              </a:solidFill>
              <a:latin typeface="Arial"/>
              <a:cs typeface="Arial"/>
            </a:rPr>
            <a:t>Παράδειγμα</a:t>
          </a:r>
        </a:p>
      </xdr:txBody>
    </xdr:sp>
    <xdr:clientData/>
  </xdr:twoCellAnchor>
  <xdr:twoCellAnchor>
    <xdr:from>
      <xdr:col>15</xdr:col>
      <xdr:colOff>219075</xdr:colOff>
      <xdr:row>196</xdr:row>
      <xdr:rowOff>13335</xdr:rowOff>
    </xdr:from>
    <xdr:to>
      <xdr:col>16</xdr:col>
      <xdr:colOff>19050</xdr:colOff>
      <xdr:row>197</xdr:row>
      <xdr:rowOff>13215</xdr:rowOff>
    </xdr:to>
    <xdr:sp macro="" textlink="">
      <xdr:nvSpPr>
        <xdr:cNvPr id="1403" name="Text Box 379"/>
        <xdr:cNvSpPr txBox="1">
          <a:spLocks noChangeArrowheads="1"/>
        </xdr:cNvSpPr>
      </xdr:nvSpPr>
      <xdr:spPr bwMode="auto">
        <a:xfrm>
          <a:off x="9210675" y="35050095"/>
          <a:ext cx="424815" cy="198000"/>
        </a:xfrm>
        <a:prstGeom prst="rect">
          <a:avLst/>
        </a:prstGeom>
        <a:gradFill rotWithShape="0">
          <a:gsLst>
            <a:gs pos="0">
              <a:srgbClr val="99CC00"/>
            </a:gs>
            <a:gs pos="100000">
              <a:srgbClr val="99CC00">
                <a:gamma/>
                <a:shade val="64706"/>
                <a:invGamma/>
              </a:srgbClr>
            </a:gs>
          </a:gsLst>
          <a:lin ang="2700000" scaled="1"/>
        </a:gradFill>
        <a:ln w="9525">
          <a:solidFill>
            <a:srgbClr val="000000"/>
          </a:solidFill>
          <a:miter lim="800000"/>
          <a:headEnd/>
          <a:tailEnd/>
        </a:ln>
      </xdr:spPr>
      <xdr:txBody>
        <a:bodyPr vertOverflow="clip" wrap="square" lIns="27432" tIns="27432" rIns="0" bIns="0" anchor="t" upright="1"/>
        <a:lstStyle/>
        <a:p>
          <a:pPr algn="l" rtl="0">
            <a:defRPr sz="1000"/>
          </a:pPr>
          <a:r>
            <a:rPr lang="el-GR" sz="1100" b="1" i="0" strike="noStrike">
              <a:solidFill>
                <a:srgbClr val="000000"/>
              </a:solidFill>
              <a:latin typeface="Arial"/>
              <a:cs typeface="Arial"/>
            </a:rPr>
            <a:t>Λύση</a:t>
          </a:r>
        </a:p>
      </xdr:txBody>
    </xdr:sp>
    <xdr:clientData/>
  </xdr:twoCellAnchor>
  <xdr:twoCellAnchor>
    <xdr:from>
      <xdr:col>20</xdr:col>
      <xdr:colOff>66675</xdr:colOff>
      <xdr:row>209</xdr:row>
      <xdr:rowOff>76200</xdr:rowOff>
    </xdr:from>
    <xdr:to>
      <xdr:col>20</xdr:col>
      <xdr:colOff>304800</xdr:colOff>
      <xdr:row>209</xdr:row>
      <xdr:rowOff>76200</xdr:rowOff>
    </xdr:to>
    <xdr:sp macro="" textlink="">
      <xdr:nvSpPr>
        <xdr:cNvPr id="1415" name="Line 391"/>
        <xdr:cNvSpPr>
          <a:spLocks noChangeShapeType="1"/>
        </xdr:cNvSpPr>
      </xdr:nvSpPr>
      <xdr:spPr bwMode="auto">
        <a:xfrm>
          <a:off x="11877675" y="35613975"/>
          <a:ext cx="238125" cy="0"/>
        </a:xfrm>
        <a:prstGeom prst="line">
          <a:avLst/>
        </a:prstGeom>
        <a:noFill/>
        <a:ln w="28575">
          <a:solidFill>
            <a:srgbClr val="FF0000"/>
          </a:solidFill>
          <a:round/>
          <a:headEnd/>
          <a:tailEnd type="triangle" w="med" len="med"/>
        </a:ln>
      </xdr:spPr>
    </xdr:sp>
    <xdr:clientData/>
  </xdr:twoCellAnchor>
  <xdr:twoCellAnchor>
    <xdr:from>
      <xdr:col>19</xdr:col>
      <xdr:colOff>85725</xdr:colOff>
      <xdr:row>227</xdr:row>
      <xdr:rowOff>0</xdr:rowOff>
    </xdr:from>
    <xdr:to>
      <xdr:col>20</xdr:col>
      <xdr:colOff>9525</xdr:colOff>
      <xdr:row>227</xdr:row>
      <xdr:rowOff>0</xdr:rowOff>
    </xdr:to>
    <xdr:sp macro="" textlink="">
      <xdr:nvSpPr>
        <xdr:cNvPr id="1417" name="Line 393"/>
        <xdr:cNvSpPr>
          <a:spLocks noChangeShapeType="1"/>
        </xdr:cNvSpPr>
      </xdr:nvSpPr>
      <xdr:spPr bwMode="auto">
        <a:xfrm>
          <a:off x="11287125" y="38595300"/>
          <a:ext cx="533400" cy="0"/>
        </a:xfrm>
        <a:prstGeom prst="line">
          <a:avLst/>
        </a:prstGeom>
        <a:noFill/>
        <a:ln w="19050">
          <a:solidFill>
            <a:srgbClr val="FF0000"/>
          </a:solidFill>
          <a:prstDash val="lgDashDotDot"/>
          <a:round/>
          <a:headEnd/>
          <a:tailEnd type="triangle" w="med" len="med"/>
        </a:ln>
      </xdr:spPr>
    </xdr:sp>
    <xdr:clientData/>
  </xdr:twoCellAnchor>
  <xdr:twoCellAnchor>
    <xdr:from>
      <xdr:col>20</xdr:col>
      <xdr:colOff>76200</xdr:colOff>
      <xdr:row>210</xdr:row>
      <xdr:rowOff>85725</xdr:rowOff>
    </xdr:from>
    <xdr:to>
      <xdr:col>20</xdr:col>
      <xdr:colOff>304800</xdr:colOff>
      <xdr:row>210</xdr:row>
      <xdr:rowOff>85725</xdr:rowOff>
    </xdr:to>
    <xdr:sp macro="" textlink="">
      <xdr:nvSpPr>
        <xdr:cNvPr id="1420" name="Line 396"/>
        <xdr:cNvSpPr>
          <a:spLocks noChangeShapeType="1"/>
        </xdr:cNvSpPr>
      </xdr:nvSpPr>
      <xdr:spPr bwMode="auto">
        <a:xfrm>
          <a:off x="11887200" y="35785425"/>
          <a:ext cx="228600" cy="0"/>
        </a:xfrm>
        <a:prstGeom prst="line">
          <a:avLst/>
        </a:prstGeom>
        <a:noFill/>
        <a:ln w="28575">
          <a:solidFill>
            <a:srgbClr val="FF0000"/>
          </a:solidFill>
          <a:round/>
          <a:headEnd/>
          <a:tailEnd type="triangle" w="med" len="med"/>
        </a:ln>
      </xdr:spPr>
    </xdr:sp>
    <xdr:clientData/>
  </xdr:twoCellAnchor>
  <xdr:twoCellAnchor>
    <xdr:from>
      <xdr:col>15</xdr:col>
      <xdr:colOff>619125</xdr:colOff>
      <xdr:row>277</xdr:row>
      <xdr:rowOff>9525</xdr:rowOff>
    </xdr:from>
    <xdr:to>
      <xdr:col>22</xdr:col>
      <xdr:colOff>85725</xdr:colOff>
      <xdr:row>277</xdr:row>
      <xdr:rowOff>9525</xdr:rowOff>
    </xdr:to>
    <xdr:sp macro="" textlink="">
      <xdr:nvSpPr>
        <xdr:cNvPr id="1427" name="Line 403"/>
        <xdr:cNvSpPr>
          <a:spLocks noChangeShapeType="1"/>
        </xdr:cNvSpPr>
      </xdr:nvSpPr>
      <xdr:spPr bwMode="auto">
        <a:xfrm>
          <a:off x="9610725" y="49501425"/>
          <a:ext cx="3840480" cy="0"/>
        </a:xfrm>
        <a:prstGeom prst="line">
          <a:avLst/>
        </a:prstGeom>
        <a:noFill/>
        <a:ln w="9525">
          <a:solidFill>
            <a:srgbClr val="FF0000"/>
          </a:solidFill>
          <a:round/>
          <a:headEnd/>
          <a:tailEnd/>
        </a:ln>
      </xdr:spPr>
    </xdr:sp>
    <xdr:clientData/>
  </xdr:twoCellAnchor>
  <xdr:twoCellAnchor>
    <xdr:from>
      <xdr:col>15</xdr:col>
      <xdr:colOff>28575</xdr:colOff>
      <xdr:row>279</xdr:row>
      <xdr:rowOff>85725</xdr:rowOff>
    </xdr:from>
    <xdr:to>
      <xdr:col>16</xdr:col>
      <xdr:colOff>295275</xdr:colOff>
      <xdr:row>280</xdr:row>
      <xdr:rowOff>123825</xdr:rowOff>
    </xdr:to>
    <xdr:sp macro="" textlink="">
      <xdr:nvSpPr>
        <xdr:cNvPr id="1428" name="Text Box 404"/>
        <xdr:cNvSpPr txBox="1">
          <a:spLocks noChangeArrowheads="1"/>
        </xdr:cNvSpPr>
      </xdr:nvSpPr>
      <xdr:spPr bwMode="auto">
        <a:xfrm>
          <a:off x="8791575" y="47282100"/>
          <a:ext cx="876300" cy="209550"/>
        </a:xfrm>
        <a:prstGeom prst="rect">
          <a:avLst/>
        </a:prstGeom>
        <a:gradFill rotWithShape="1">
          <a:gsLst>
            <a:gs pos="0">
              <a:srgbClr val="003300"/>
            </a:gs>
            <a:gs pos="100000">
              <a:srgbClr val="003300">
                <a:gamma/>
                <a:shade val="5098"/>
                <a:invGamma/>
              </a:srgbClr>
            </a:gs>
          </a:gsLst>
          <a:lin ang="2700000" scaled="1"/>
        </a:gradFill>
        <a:ln w="9525" algn="ctr">
          <a:solidFill>
            <a:srgbClr val="FFFF99"/>
          </a:solidFill>
          <a:miter lim="800000"/>
          <a:headEnd/>
          <a:tailEnd/>
        </a:ln>
        <a:effectLst/>
      </xdr:spPr>
      <xdr:txBody>
        <a:bodyPr vertOverflow="clip" wrap="square" lIns="27432" tIns="27432" rIns="0" bIns="0" anchor="t" upright="1"/>
        <a:lstStyle/>
        <a:p>
          <a:pPr algn="l" rtl="1">
            <a:defRPr sz="1000"/>
          </a:pPr>
          <a:r>
            <a:rPr lang="el-GR" sz="1100" b="1" i="0" strike="noStrike">
              <a:solidFill>
                <a:srgbClr val="FF9900"/>
              </a:solidFill>
              <a:latin typeface="Arial"/>
              <a:cs typeface="Arial"/>
            </a:rPr>
            <a:t>Παράδειγμα</a:t>
          </a:r>
        </a:p>
      </xdr:txBody>
    </xdr:sp>
    <xdr:clientData/>
  </xdr:twoCellAnchor>
  <xdr:twoCellAnchor>
    <xdr:from>
      <xdr:col>15</xdr:col>
      <xdr:colOff>600075</xdr:colOff>
      <xdr:row>334</xdr:row>
      <xdr:rowOff>114300</xdr:rowOff>
    </xdr:from>
    <xdr:to>
      <xdr:col>19</xdr:col>
      <xdr:colOff>19050</xdr:colOff>
      <xdr:row>334</xdr:row>
      <xdr:rowOff>114300</xdr:rowOff>
    </xdr:to>
    <xdr:sp macro="" textlink="">
      <xdr:nvSpPr>
        <xdr:cNvPr id="1450" name="Line 426"/>
        <xdr:cNvSpPr>
          <a:spLocks noChangeShapeType="1"/>
        </xdr:cNvSpPr>
      </xdr:nvSpPr>
      <xdr:spPr bwMode="auto">
        <a:xfrm>
          <a:off x="9363075" y="56235600"/>
          <a:ext cx="1857375" cy="0"/>
        </a:xfrm>
        <a:prstGeom prst="line">
          <a:avLst/>
        </a:prstGeom>
        <a:noFill/>
        <a:ln w="9525">
          <a:solidFill>
            <a:srgbClr val="FF0000"/>
          </a:solidFill>
          <a:round/>
          <a:headEnd/>
          <a:tailEnd/>
        </a:ln>
      </xdr:spPr>
    </xdr:sp>
    <xdr:clientData/>
  </xdr:twoCellAnchor>
  <xdr:twoCellAnchor>
    <xdr:from>
      <xdr:col>19</xdr:col>
      <xdr:colOff>161925</xdr:colOff>
      <xdr:row>334</xdr:row>
      <xdr:rowOff>114300</xdr:rowOff>
    </xdr:from>
    <xdr:to>
      <xdr:col>20</xdr:col>
      <xdr:colOff>9525</xdr:colOff>
      <xdr:row>334</xdr:row>
      <xdr:rowOff>114300</xdr:rowOff>
    </xdr:to>
    <xdr:sp macro="" textlink="">
      <xdr:nvSpPr>
        <xdr:cNvPr id="1454" name="Line 430"/>
        <xdr:cNvSpPr>
          <a:spLocks noChangeShapeType="1"/>
        </xdr:cNvSpPr>
      </xdr:nvSpPr>
      <xdr:spPr bwMode="auto">
        <a:xfrm>
          <a:off x="11363325" y="56235600"/>
          <a:ext cx="457200" cy="0"/>
        </a:xfrm>
        <a:prstGeom prst="line">
          <a:avLst/>
        </a:prstGeom>
        <a:noFill/>
        <a:ln w="9525">
          <a:solidFill>
            <a:srgbClr val="FF0000"/>
          </a:solidFill>
          <a:round/>
          <a:headEnd/>
          <a:tailEnd/>
        </a:ln>
      </xdr:spPr>
    </xdr:sp>
    <xdr:clientData/>
  </xdr:twoCellAnchor>
  <xdr:twoCellAnchor>
    <xdr:from>
      <xdr:col>15</xdr:col>
      <xdr:colOff>495300</xdr:colOff>
      <xdr:row>329</xdr:row>
      <xdr:rowOff>104775</xdr:rowOff>
    </xdr:from>
    <xdr:to>
      <xdr:col>20</xdr:col>
      <xdr:colOff>114300</xdr:colOff>
      <xdr:row>329</xdr:row>
      <xdr:rowOff>142875</xdr:rowOff>
    </xdr:to>
    <xdr:grpSp>
      <xdr:nvGrpSpPr>
        <xdr:cNvPr id="1507" name="Group 483"/>
        <xdr:cNvGrpSpPr>
          <a:grpSpLocks/>
        </xdr:cNvGrpSpPr>
      </xdr:nvGrpSpPr>
      <xdr:grpSpPr bwMode="auto">
        <a:xfrm>
          <a:off x="9382125" y="58388250"/>
          <a:ext cx="2667000" cy="38100"/>
          <a:chOff x="972" y="5805"/>
          <a:chExt cx="280" cy="4"/>
        </a:xfrm>
      </xdr:grpSpPr>
      <xdr:grpSp>
        <xdr:nvGrpSpPr>
          <xdr:cNvPr id="1461" name="Group 437"/>
          <xdr:cNvGrpSpPr>
            <a:grpSpLocks/>
          </xdr:cNvGrpSpPr>
        </xdr:nvGrpSpPr>
        <xdr:grpSpPr bwMode="auto">
          <a:xfrm>
            <a:off x="1244" y="5805"/>
            <a:ext cx="8" cy="4"/>
            <a:chOff x="972" y="5901"/>
            <a:chExt cx="8" cy="5"/>
          </a:xfrm>
        </xdr:grpSpPr>
        <xdr:sp macro="" textlink="">
          <xdr:nvSpPr>
            <xdr:cNvPr id="1462" name="Line 438"/>
            <xdr:cNvSpPr>
              <a:spLocks noChangeShapeType="1"/>
            </xdr:cNvSpPr>
          </xdr:nvSpPr>
          <xdr:spPr bwMode="auto">
            <a:xfrm>
              <a:off x="972" y="5901"/>
              <a:ext cx="8" cy="0"/>
            </a:xfrm>
            <a:prstGeom prst="line">
              <a:avLst/>
            </a:prstGeom>
            <a:noFill/>
            <a:ln w="19050">
              <a:solidFill>
                <a:srgbClr val="FF0000"/>
              </a:solidFill>
              <a:round/>
              <a:headEnd/>
              <a:tailEnd/>
            </a:ln>
          </xdr:spPr>
        </xdr:sp>
        <xdr:sp macro="" textlink="">
          <xdr:nvSpPr>
            <xdr:cNvPr id="1463" name="Line 439"/>
            <xdr:cNvSpPr>
              <a:spLocks noChangeShapeType="1"/>
            </xdr:cNvSpPr>
          </xdr:nvSpPr>
          <xdr:spPr bwMode="auto">
            <a:xfrm>
              <a:off x="972" y="5906"/>
              <a:ext cx="8" cy="0"/>
            </a:xfrm>
            <a:prstGeom prst="line">
              <a:avLst/>
            </a:prstGeom>
            <a:noFill/>
            <a:ln w="19050">
              <a:solidFill>
                <a:srgbClr val="FF0000"/>
              </a:solidFill>
              <a:round/>
              <a:headEnd/>
              <a:tailEnd/>
            </a:ln>
          </xdr:spPr>
        </xdr:sp>
      </xdr:grpSp>
      <xdr:grpSp>
        <xdr:nvGrpSpPr>
          <xdr:cNvPr id="1501" name="Group 477"/>
          <xdr:cNvGrpSpPr>
            <a:grpSpLocks/>
          </xdr:cNvGrpSpPr>
        </xdr:nvGrpSpPr>
        <xdr:grpSpPr bwMode="auto">
          <a:xfrm>
            <a:off x="972" y="5805"/>
            <a:ext cx="267" cy="4"/>
            <a:chOff x="972" y="5808"/>
            <a:chExt cx="267" cy="4"/>
          </a:xfrm>
        </xdr:grpSpPr>
        <xdr:sp macro="" textlink="">
          <xdr:nvSpPr>
            <xdr:cNvPr id="1444" name="Line 420"/>
            <xdr:cNvSpPr>
              <a:spLocks noChangeShapeType="1"/>
            </xdr:cNvSpPr>
          </xdr:nvSpPr>
          <xdr:spPr bwMode="auto">
            <a:xfrm>
              <a:off x="981" y="5811"/>
              <a:ext cx="195" cy="0"/>
            </a:xfrm>
            <a:prstGeom prst="line">
              <a:avLst/>
            </a:prstGeom>
            <a:noFill/>
            <a:ln w="9525">
              <a:solidFill>
                <a:srgbClr val="FF0000"/>
              </a:solidFill>
              <a:round/>
              <a:headEnd/>
              <a:tailEnd/>
            </a:ln>
          </xdr:spPr>
        </xdr:sp>
        <xdr:sp macro="" textlink="">
          <xdr:nvSpPr>
            <xdr:cNvPr id="1448" name="Line 424"/>
            <xdr:cNvSpPr>
              <a:spLocks noChangeShapeType="1"/>
            </xdr:cNvSpPr>
          </xdr:nvSpPr>
          <xdr:spPr bwMode="auto">
            <a:xfrm>
              <a:off x="1191" y="5810"/>
              <a:ext cx="48" cy="0"/>
            </a:xfrm>
            <a:prstGeom prst="line">
              <a:avLst/>
            </a:prstGeom>
            <a:noFill/>
            <a:ln w="9525">
              <a:solidFill>
                <a:srgbClr val="FF0000"/>
              </a:solidFill>
              <a:round/>
              <a:headEnd/>
              <a:tailEnd/>
            </a:ln>
          </xdr:spPr>
        </xdr:sp>
        <xdr:grpSp>
          <xdr:nvGrpSpPr>
            <xdr:cNvPr id="1460" name="Group 436"/>
            <xdr:cNvGrpSpPr>
              <a:grpSpLocks/>
            </xdr:cNvGrpSpPr>
          </xdr:nvGrpSpPr>
          <xdr:grpSpPr bwMode="auto">
            <a:xfrm>
              <a:off x="972" y="5808"/>
              <a:ext cx="8" cy="4"/>
              <a:chOff x="972" y="5901"/>
              <a:chExt cx="8" cy="5"/>
            </a:xfrm>
          </xdr:grpSpPr>
          <xdr:sp macro="" textlink="">
            <xdr:nvSpPr>
              <xdr:cNvPr id="1458" name="Line 434"/>
              <xdr:cNvSpPr>
                <a:spLocks noChangeShapeType="1"/>
              </xdr:cNvSpPr>
            </xdr:nvSpPr>
            <xdr:spPr bwMode="auto">
              <a:xfrm>
                <a:off x="972" y="5901"/>
                <a:ext cx="8" cy="0"/>
              </a:xfrm>
              <a:prstGeom prst="line">
                <a:avLst/>
              </a:prstGeom>
              <a:noFill/>
              <a:ln w="19050">
                <a:solidFill>
                  <a:srgbClr val="FF0000"/>
                </a:solidFill>
                <a:round/>
                <a:headEnd/>
                <a:tailEnd/>
              </a:ln>
            </xdr:spPr>
          </xdr:sp>
          <xdr:sp macro="" textlink="">
            <xdr:nvSpPr>
              <xdr:cNvPr id="1459" name="Line 435"/>
              <xdr:cNvSpPr>
                <a:spLocks noChangeShapeType="1"/>
              </xdr:cNvSpPr>
            </xdr:nvSpPr>
            <xdr:spPr bwMode="auto">
              <a:xfrm>
                <a:off x="972" y="5906"/>
                <a:ext cx="8" cy="0"/>
              </a:xfrm>
              <a:prstGeom prst="line">
                <a:avLst/>
              </a:prstGeom>
              <a:noFill/>
              <a:ln w="19050">
                <a:solidFill>
                  <a:srgbClr val="FF0000"/>
                </a:solidFill>
                <a:round/>
                <a:headEnd/>
                <a:tailEnd/>
              </a:ln>
            </xdr:spPr>
          </xdr:sp>
        </xdr:grpSp>
        <xdr:grpSp>
          <xdr:nvGrpSpPr>
            <xdr:cNvPr id="1464" name="Group 440"/>
            <xdr:cNvGrpSpPr>
              <a:grpSpLocks/>
            </xdr:cNvGrpSpPr>
          </xdr:nvGrpSpPr>
          <xdr:grpSpPr bwMode="auto">
            <a:xfrm>
              <a:off x="1181" y="5808"/>
              <a:ext cx="8" cy="4"/>
              <a:chOff x="972" y="5901"/>
              <a:chExt cx="8" cy="5"/>
            </a:xfrm>
          </xdr:grpSpPr>
          <xdr:sp macro="" textlink="">
            <xdr:nvSpPr>
              <xdr:cNvPr id="1465" name="Line 441"/>
              <xdr:cNvSpPr>
                <a:spLocks noChangeShapeType="1"/>
              </xdr:cNvSpPr>
            </xdr:nvSpPr>
            <xdr:spPr bwMode="auto">
              <a:xfrm>
                <a:off x="972" y="5901"/>
                <a:ext cx="8" cy="0"/>
              </a:xfrm>
              <a:prstGeom prst="line">
                <a:avLst/>
              </a:prstGeom>
              <a:noFill/>
              <a:ln w="19050">
                <a:solidFill>
                  <a:srgbClr val="FF0000"/>
                </a:solidFill>
                <a:round/>
                <a:headEnd/>
                <a:tailEnd/>
              </a:ln>
            </xdr:spPr>
          </xdr:sp>
          <xdr:sp macro="" textlink="">
            <xdr:nvSpPr>
              <xdr:cNvPr id="1466" name="Line 442"/>
              <xdr:cNvSpPr>
                <a:spLocks noChangeShapeType="1"/>
              </xdr:cNvSpPr>
            </xdr:nvSpPr>
            <xdr:spPr bwMode="auto">
              <a:xfrm>
                <a:off x="972" y="5906"/>
                <a:ext cx="8" cy="0"/>
              </a:xfrm>
              <a:prstGeom prst="line">
                <a:avLst/>
              </a:prstGeom>
              <a:noFill/>
              <a:ln w="19050">
                <a:solidFill>
                  <a:srgbClr val="FF0000"/>
                </a:solidFill>
                <a:round/>
                <a:headEnd/>
                <a:tailEnd/>
              </a:ln>
            </xdr:spPr>
          </xdr:sp>
        </xdr:grpSp>
      </xdr:grpSp>
    </xdr:grpSp>
    <xdr:clientData/>
  </xdr:twoCellAnchor>
  <xdr:twoCellAnchor>
    <xdr:from>
      <xdr:col>20</xdr:col>
      <xdr:colOff>66675</xdr:colOff>
      <xdr:row>334</xdr:row>
      <xdr:rowOff>95250</xdr:rowOff>
    </xdr:from>
    <xdr:to>
      <xdr:col>20</xdr:col>
      <xdr:colOff>142875</xdr:colOff>
      <xdr:row>334</xdr:row>
      <xdr:rowOff>133350</xdr:rowOff>
    </xdr:to>
    <xdr:grpSp>
      <xdr:nvGrpSpPr>
        <xdr:cNvPr id="1470" name="Group 446"/>
        <xdr:cNvGrpSpPr>
          <a:grpSpLocks/>
        </xdr:cNvGrpSpPr>
      </xdr:nvGrpSpPr>
      <xdr:grpSpPr bwMode="auto">
        <a:xfrm>
          <a:off x="12001500" y="59293125"/>
          <a:ext cx="76200" cy="38100"/>
          <a:chOff x="972" y="5901"/>
          <a:chExt cx="8" cy="5"/>
        </a:xfrm>
      </xdr:grpSpPr>
      <xdr:sp macro="" textlink="">
        <xdr:nvSpPr>
          <xdr:cNvPr id="1471" name="Line 447"/>
          <xdr:cNvSpPr>
            <a:spLocks noChangeShapeType="1"/>
          </xdr:cNvSpPr>
        </xdr:nvSpPr>
        <xdr:spPr bwMode="auto">
          <a:xfrm>
            <a:off x="972" y="5901"/>
            <a:ext cx="8" cy="0"/>
          </a:xfrm>
          <a:prstGeom prst="line">
            <a:avLst/>
          </a:prstGeom>
          <a:noFill/>
          <a:ln w="19050">
            <a:solidFill>
              <a:srgbClr val="FF0000"/>
            </a:solidFill>
            <a:round/>
            <a:headEnd/>
            <a:tailEnd/>
          </a:ln>
        </xdr:spPr>
      </xdr:sp>
      <xdr:sp macro="" textlink="">
        <xdr:nvSpPr>
          <xdr:cNvPr id="1472" name="Line 448"/>
          <xdr:cNvSpPr>
            <a:spLocks noChangeShapeType="1"/>
          </xdr:cNvSpPr>
        </xdr:nvSpPr>
        <xdr:spPr bwMode="auto">
          <a:xfrm>
            <a:off x="972" y="5906"/>
            <a:ext cx="8" cy="0"/>
          </a:xfrm>
          <a:prstGeom prst="line">
            <a:avLst/>
          </a:prstGeom>
          <a:noFill/>
          <a:ln w="19050">
            <a:solidFill>
              <a:srgbClr val="FF0000"/>
            </a:solidFill>
            <a:round/>
            <a:headEnd/>
            <a:tailEnd/>
          </a:ln>
        </xdr:spPr>
      </xdr:sp>
    </xdr:grpSp>
    <xdr:clientData/>
  </xdr:twoCellAnchor>
  <xdr:twoCellAnchor>
    <xdr:from>
      <xdr:col>19</xdr:col>
      <xdr:colOff>66675</xdr:colOff>
      <xdr:row>334</xdr:row>
      <xdr:rowOff>85725</xdr:rowOff>
    </xdr:from>
    <xdr:to>
      <xdr:col>19</xdr:col>
      <xdr:colOff>142875</xdr:colOff>
      <xdr:row>334</xdr:row>
      <xdr:rowOff>123825</xdr:rowOff>
    </xdr:to>
    <xdr:grpSp>
      <xdr:nvGrpSpPr>
        <xdr:cNvPr id="1473" name="Group 449"/>
        <xdr:cNvGrpSpPr>
          <a:grpSpLocks/>
        </xdr:cNvGrpSpPr>
      </xdr:nvGrpSpPr>
      <xdr:grpSpPr bwMode="auto">
        <a:xfrm>
          <a:off x="11391900" y="59283600"/>
          <a:ext cx="76200" cy="38100"/>
          <a:chOff x="972" y="5901"/>
          <a:chExt cx="8" cy="5"/>
        </a:xfrm>
      </xdr:grpSpPr>
      <xdr:sp macro="" textlink="">
        <xdr:nvSpPr>
          <xdr:cNvPr id="1474" name="Line 450"/>
          <xdr:cNvSpPr>
            <a:spLocks noChangeShapeType="1"/>
          </xdr:cNvSpPr>
        </xdr:nvSpPr>
        <xdr:spPr bwMode="auto">
          <a:xfrm>
            <a:off x="972" y="5901"/>
            <a:ext cx="8" cy="0"/>
          </a:xfrm>
          <a:prstGeom prst="line">
            <a:avLst/>
          </a:prstGeom>
          <a:noFill/>
          <a:ln w="19050">
            <a:solidFill>
              <a:srgbClr val="FF0000"/>
            </a:solidFill>
            <a:round/>
            <a:headEnd/>
            <a:tailEnd/>
          </a:ln>
        </xdr:spPr>
      </xdr:sp>
      <xdr:sp macro="" textlink="">
        <xdr:nvSpPr>
          <xdr:cNvPr id="1475" name="Line 451"/>
          <xdr:cNvSpPr>
            <a:spLocks noChangeShapeType="1"/>
          </xdr:cNvSpPr>
        </xdr:nvSpPr>
        <xdr:spPr bwMode="auto">
          <a:xfrm>
            <a:off x="972" y="5906"/>
            <a:ext cx="8" cy="0"/>
          </a:xfrm>
          <a:prstGeom prst="line">
            <a:avLst/>
          </a:prstGeom>
          <a:noFill/>
          <a:ln w="19050">
            <a:solidFill>
              <a:srgbClr val="FF0000"/>
            </a:solidFill>
            <a:round/>
            <a:headEnd/>
            <a:tailEnd/>
          </a:ln>
        </xdr:spPr>
      </xdr:sp>
    </xdr:grpSp>
    <xdr:clientData/>
  </xdr:twoCellAnchor>
  <xdr:twoCellAnchor>
    <xdr:from>
      <xdr:col>15</xdr:col>
      <xdr:colOff>514350</xdr:colOff>
      <xdr:row>334</xdr:row>
      <xdr:rowOff>85725</xdr:rowOff>
    </xdr:from>
    <xdr:to>
      <xdr:col>15</xdr:col>
      <xdr:colOff>590550</xdr:colOff>
      <xdr:row>334</xdr:row>
      <xdr:rowOff>123825</xdr:rowOff>
    </xdr:to>
    <xdr:grpSp>
      <xdr:nvGrpSpPr>
        <xdr:cNvPr id="1476" name="Group 452"/>
        <xdr:cNvGrpSpPr>
          <a:grpSpLocks/>
        </xdr:cNvGrpSpPr>
      </xdr:nvGrpSpPr>
      <xdr:grpSpPr bwMode="auto">
        <a:xfrm>
          <a:off x="9401175" y="59283600"/>
          <a:ext cx="76200" cy="38100"/>
          <a:chOff x="972" y="5901"/>
          <a:chExt cx="8" cy="5"/>
        </a:xfrm>
      </xdr:grpSpPr>
      <xdr:sp macro="" textlink="">
        <xdr:nvSpPr>
          <xdr:cNvPr id="1477" name="Line 453"/>
          <xdr:cNvSpPr>
            <a:spLocks noChangeShapeType="1"/>
          </xdr:cNvSpPr>
        </xdr:nvSpPr>
        <xdr:spPr bwMode="auto">
          <a:xfrm>
            <a:off x="972" y="5901"/>
            <a:ext cx="8" cy="0"/>
          </a:xfrm>
          <a:prstGeom prst="line">
            <a:avLst/>
          </a:prstGeom>
          <a:noFill/>
          <a:ln w="19050">
            <a:solidFill>
              <a:srgbClr val="FF0000"/>
            </a:solidFill>
            <a:round/>
            <a:headEnd/>
            <a:tailEnd/>
          </a:ln>
        </xdr:spPr>
      </xdr:sp>
      <xdr:sp macro="" textlink="">
        <xdr:nvSpPr>
          <xdr:cNvPr id="1478" name="Line 454"/>
          <xdr:cNvSpPr>
            <a:spLocks noChangeShapeType="1"/>
          </xdr:cNvSpPr>
        </xdr:nvSpPr>
        <xdr:spPr bwMode="auto">
          <a:xfrm>
            <a:off x="972" y="5906"/>
            <a:ext cx="8" cy="0"/>
          </a:xfrm>
          <a:prstGeom prst="line">
            <a:avLst/>
          </a:prstGeom>
          <a:noFill/>
          <a:ln w="19050">
            <a:solidFill>
              <a:srgbClr val="FF0000"/>
            </a:solidFill>
            <a:round/>
            <a:headEnd/>
            <a:tailEnd/>
          </a:ln>
        </xdr:spPr>
      </xdr:sp>
    </xdr:grpSp>
    <xdr:clientData/>
  </xdr:twoCellAnchor>
  <xdr:twoCellAnchor>
    <xdr:from>
      <xdr:col>15</xdr:col>
      <xdr:colOff>47625</xdr:colOff>
      <xdr:row>337</xdr:row>
      <xdr:rowOff>70485</xdr:rowOff>
    </xdr:from>
    <xdr:to>
      <xdr:col>16</xdr:col>
      <xdr:colOff>352425</xdr:colOff>
      <xdr:row>338</xdr:row>
      <xdr:rowOff>144780</xdr:rowOff>
    </xdr:to>
    <xdr:sp macro="" textlink="">
      <xdr:nvSpPr>
        <xdr:cNvPr id="1479" name="Text Box 455"/>
        <xdr:cNvSpPr txBox="1">
          <a:spLocks noChangeArrowheads="1"/>
        </xdr:cNvSpPr>
      </xdr:nvSpPr>
      <xdr:spPr bwMode="auto">
        <a:xfrm>
          <a:off x="9039225" y="60298965"/>
          <a:ext cx="929640" cy="249555"/>
        </a:xfrm>
        <a:prstGeom prst="rect">
          <a:avLst/>
        </a:prstGeom>
        <a:gradFill rotWithShape="1">
          <a:gsLst>
            <a:gs pos="0">
              <a:srgbClr val="003300"/>
            </a:gs>
            <a:gs pos="100000">
              <a:srgbClr val="003300">
                <a:gamma/>
                <a:shade val="5098"/>
                <a:invGamma/>
              </a:srgbClr>
            </a:gs>
          </a:gsLst>
          <a:lin ang="2700000" scaled="1"/>
        </a:gradFill>
        <a:ln w="9525" algn="ctr">
          <a:solidFill>
            <a:srgbClr val="FFFF99"/>
          </a:solidFill>
          <a:miter lim="800000"/>
          <a:headEnd/>
          <a:tailEnd/>
        </a:ln>
        <a:effectLst/>
      </xdr:spPr>
      <xdr:txBody>
        <a:bodyPr vertOverflow="clip" wrap="square" lIns="27432" tIns="27432" rIns="0" bIns="0" anchor="t" upright="1"/>
        <a:lstStyle/>
        <a:p>
          <a:pPr algn="l" rtl="0">
            <a:defRPr sz="1000"/>
          </a:pPr>
          <a:r>
            <a:rPr lang="el-GR" sz="1100" b="1" i="0" strike="noStrike">
              <a:solidFill>
                <a:srgbClr val="FF9900"/>
              </a:solidFill>
              <a:latin typeface="Arial"/>
              <a:cs typeface="Arial"/>
            </a:rPr>
            <a:t>Παρατήρηση</a:t>
          </a:r>
        </a:p>
      </xdr:txBody>
    </xdr:sp>
    <xdr:clientData/>
  </xdr:twoCellAnchor>
  <xdr:twoCellAnchor>
    <xdr:from>
      <xdr:col>21</xdr:col>
      <xdr:colOff>306705</xdr:colOff>
      <xdr:row>177</xdr:row>
      <xdr:rowOff>127635</xdr:rowOff>
    </xdr:from>
    <xdr:to>
      <xdr:col>24</xdr:col>
      <xdr:colOff>525780</xdr:colOff>
      <xdr:row>185</xdr:row>
      <xdr:rowOff>57150</xdr:rowOff>
    </xdr:to>
    <xdr:sp macro="" textlink="">
      <xdr:nvSpPr>
        <xdr:cNvPr id="1480" name="Text Box 456"/>
        <xdr:cNvSpPr txBox="1">
          <a:spLocks noChangeArrowheads="1"/>
        </xdr:cNvSpPr>
      </xdr:nvSpPr>
      <xdr:spPr bwMode="auto">
        <a:xfrm>
          <a:off x="13047345" y="31765875"/>
          <a:ext cx="2093595" cy="1377315"/>
        </a:xfrm>
        <a:prstGeom prst="rect">
          <a:avLst/>
        </a:prstGeom>
        <a:gradFill rotWithShape="1">
          <a:gsLst>
            <a:gs pos="0">
              <a:srgbClr val="800000"/>
            </a:gs>
            <a:gs pos="100000">
              <a:srgbClr val="800000">
                <a:gamma/>
                <a:shade val="0"/>
                <a:invGamma/>
              </a:srgbClr>
            </a:gs>
          </a:gsLst>
          <a:lin ang="2700000" scaled="1"/>
        </a:gradFill>
        <a:ln w="9525">
          <a:solidFill>
            <a:srgbClr val="FFFF99"/>
          </a:solidFill>
          <a:miter lim="800000"/>
          <a:headEnd/>
          <a:tailEnd/>
        </a:ln>
      </xdr:spPr>
      <xdr:txBody>
        <a:bodyPr vertOverflow="clip" wrap="square" lIns="27432" tIns="22860" rIns="27432" bIns="22860" anchor="ctr" upright="1"/>
        <a:lstStyle/>
        <a:p>
          <a:pPr algn="ctr" rtl="0">
            <a:defRPr sz="1000"/>
          </a:pPr>
          <a:r>
            <a:rPr lang="el-GR" sz="1000" b="0" i="0" strike="noStrike">
              <a:solidFill>
                <a:srgbClr val="FFFF99"/>
              </a:solidFill>
              <a:latin typeface="Arial"/>
              <a:cs typeface="Arial"/>
            </a:rPr>
            <a:t>Παρατηρούμε ότι η φορά της ανισωτικής σχέσης είναι αντίθετη από τη φορά του βέλους, που δείχνει προς ποια κατεύθυνση οδεύει το σύστημα, για να αποκατασταθεί χημική ισορροπία.</a:t>
          </a:r>
        </a:p>
      </xdr:txBody>
    </xdr:sp>
    <xdr:clientData/>
  </xdr:twoCellAnchor>
  <xdr:twoCellAnchor>
    <xdr:from>
      <xdr:col>16</xdr:col>
      <xdr:colOff>352425</xdr:colOff>
      <xdr:row>68</xdr:row>
      <xdr:rowOff>57150</xdr:rowOff>
    </xdr:from>
    <xdr:to>
      <xdr:col>22</xdr:col>
      <xdr:colOff>400050</xdr:colOff>
      <xdr:row>79</xdr:row>
      <xdr:rowOff>47625</xdr:rowOff>
    </xdr:to>
    <xdr:grpSp>
      <xdr:nvGrpSpPr>
        <xdr:cNvPr id="1482" name="Group 458"/>
        <xdr:cNvGrpSpPr>
          <a:grpSpLocks/>
        </xdr:cNvGrpSpPr>
      </xdr:nvGrpSpPr>
      <xdr:grpSpPr bwMode="auto">
        <a:xfrm>
          <a:off x="9848850" y="12039600"/>
          <a:ext cx="3705225" cy="1905000"/>
          <a:chOff x="1021" y="1250"/>
          <a:chExt cx="389" cy="199"/>
        </a:xfrm>
      </xdr:grpSpPr>
      <xdr:grpSp>
        <xdr:nvGrpSpPr>
          <xdr:cNvPr id="1331" name="Group 307"/>
          <xdr:cNvGrpSpPr>
            <a:grpSpLocks/>
          </xdr:cNvGrpSpPr>
        </xdr:nvGrpSpPr>
        <xdr:grpSpPr bwMode="auto">
          <a:xfrm>
            <a:off x="1021" y="1250"/>
            <a:ext cx="389" cy="199"/>
            <a:chOff x="1021" y="1238"/>
            <a:chExt cx="389" cy="199"/>
          </a:xfrm>
        </xdr:grpSpPr>
        <xdr:sp macro="" textlink="">
          <xdr:nvSpPr>
            <xdr:cNvPr id="1315" name="Text Box 291"/>
            <xdr:cNvSpPr txBox="1">
              <a:spLocks noChangeArrowheads="1"/>
            </xdr:cNvSpPr>
          </xdr:nvSpPr>
          <xdr:spPr bwMode="auto">
            <a:xfrm>
              <a:off x="1021" y="1238"/>
              <a:ext cx="129" cy="32"/>
            </a:xfrm>
            <a:prstGeom prst="rect">
              <a:avLst/>
            </a:prstGeom>
            <a:gradFill rotWithShape="0">
              <a:gsLst>
                <a:gs pos="0">
                  <a:srgbClr val="99CC00"/>
                </a:gs>
                <a:gs pos="100000">
                  <a:srgbClr val="99CC00">
                    <a:gamma/>
                    <a:shade val="70980"/>
                    <a:invGamma/>
                  </a:srgbClr>
                </a:gs>
              </a:gsLst>
              <a:lin ang="2700000" scaled="1"/>
            </a:gradFill>
            <a:ln w="9525">
              <a:solidFill>
                <a:srgbClr val="000000"/>
              </a:solidFill>
              <a:miter lim="800000"/>
              <a:headEnd/>
              <a:tailEnd/>
            </a:ln>
          </xdr:spPr>
          <xdr:txBody>
            <a:bodyPr vertOverflow="clip" wrap="square" lIns="36576" tIns="32004" rIns="0" bIns="0" anchor="t" upright="1"/>
            <a:lstStyle/>
            <a:p>
              <a:pPr algn="l" rtl="0">
                <a:defRPr sz="1000"/>
              </a:pPr>
              <a:r>
                <a:rPr lang="el-GR" sz="1600" b="0" i="0" strike="noStrike">
                  <a:solidFill>
                    <a:srgbClr val="000000"/>
                  </a:solidFill>
                  <a:latin typeface="Arial"/>
                  <a:cs typeface="Arial"/>
                </a:rPr>
                <a:t>υ</a:t>
              </a:r>
              <a:r>
                <a:rPr lang="el-GR" sz="900" b="0" i="0" strike="noStrike">
                  <a:solidFill>
                    <a:srgbClr val="000000"/>
                  </a:solidFill>
                  <a:latin typeface="Arial"/>
                  <a:cs typeface="Arial"/>
                </a:rPr>
                <a:t>1αρχ.</a:t>
              </a:r>
              <a:r>
                <a:rPr lang="el-GR" sz="1600" b="0" i="0" strike="noStrike">
                  <a:solidFill>
                    <a:srgbClr val="000000"/>
                  </a:solidFill>
                  <a:latin typeface="Arial"/>
                  <a:cs typeface="Arial"/>
                </a:rPr>
                <a:t>:μέγιστη</a:t>
              </a:r>
            </a:p>
          </xdr:txBody>
        </xdr:sp>
        <xdr:sp macro="" textlink="">
          <xdr:nvSpPr>
            <xdr:cNvPr id="1317" name="Text Box 293"/>
            <xdr:cNvSpPr txBox="1">
              <a:spLocks noChangeArrowheads="1"/>
            </xdr:cNvSpPr>
          </xdr:nvSpPr>
          <xdr:spPr bwMode="auto">
            <a:xfrm>
              <a:off x="1163" y="1322"/>
              <a:ext cx="92" cy="31"/>
            </a:xfrm>
            <a:prstGeom prst="rect">
              <a:avLst/>
            </a:prstGeom>
            <a:gradFill rotWithShape="0">
              <a:gsLst>
                <a:gs pos="0">
                  <a:srgbClr val="808000"/>
                </a:gs>
                <a:gs pos="100000">
                  <a:srgbClr val="808000">
                    <a:gamma/>
                    <a:shade val="51765"/>
                    <a:invGamma/>
                  </a:srgbClr>
                </a:gs>
              </a:gsLst>
              <a:lin ang="2700000" scaled="1"/>
            </a:gradFill>
            <a:ln w="9525">
              <a:solidFill>
                <a:srgbClr val="000000"/>
              </a:solidFill>
              <a:miter lim="800000"/>
              <a:headEnd/>
              <a:tailEnd/>
            </a:ln>
          </xdr:spPr>
          <xdr:txBody>
            <a:bodyPr vertOverflow="clip" wrap="square" lIns="36576" tIns="32004" rIns="0" bIns="0" anchor="t" upright="1"/>
            <a:lstStyle/>
            <a:p>
              <a:pPr algn="l" rtl="0">
                <a:defRPr sz="1000"/>
              </a:pPr>
              <a:r>
                <a:rPr lang="el-GR" sz="1600" b="0" i="0" strike="noStrike">
                  <a:solidFill>
                    <a:srgbClr val="FFFFFF"/>
                  </a:solidFill>
                  <a:latin typeface="Arial"/>
                  <a:cs typeface="Arial"/>
                </a:rPr>
                <a:t>υ</a:t>
              </a:r>
              <a:r>
                <a:rPr lang="el-GR" sz="900" b="0" i="0" strike="noStrike">
                  <a:solidFill>
                    <a:srgbClr val="FFFFFF"/>
                  </a:solidFill>
                  <a:latin typeface="Arial"/>
                  <a:cs typeface="Arial"/>
                </a:rPr>
                <a:t>1τελ.</a:t>
              </a:r>
              <a:r>
                <a:rPr lang="el-GR" sz="1600" b="0" i="0" strike="noStrike">
                  <a:solidFill>
                    <a:srgbClr val="FFFFFF"/>
                  </a:solidFill>
                  <a:latin typeface="Arial"/>
                  <a:cs typeface="Arial"/>
                </a:rPr>
                <a:t>=υ</a:t>
              </a:r>
              <a:r>
                <a:rPr lang="el-GR" sz="900" b="0" i="0" strike="noStrike">
                  <a:solidFill>
                    <a:srgbClr val="FFFFFF"/>
                  </a:solidFill>
                  <a:latin typeface="Arial"/>
                  <a:cs typeface="Arial"/>
                </a:rPr>
                <a:t>2τελ.</a:t>
              </a:r>
            </a:p>
          </xdr:txBody>
        </xdr:sp>
        <xdr:sp macro="" textlink="">
          <xdr:nvSpPr>
            <xdr:cNvPr id="1318" name="Text Box 294"/>
            <xdr:cNvSpPr txBox="1">
              <a:spLocks noChangeArrowheads="1"/>
            </xdr:cNvSpPr>
          </xdr:nvSpPr>
          <xdr:spPr bwMode="auto">
            <a:xfrm>
              <a:off x="1269" y="1405"/>
              <a:ext cx="141" cy="32"/>
            </a:xfrm>
            <a:prstGeom prst="rect">
              <a:avLst/>
            </a:prstGeom>
            <a:gradFill rotWithShape="0">
              <a:gsLst>
                <a:gs pos="0">
                  <a:srgbClr val="FF9900"/>
                </a:gs>
                <a:gs pos="100000">
                  <a:srgbClr val="FF9900">
                    <a:gamma/>
                    <a:shade val="72941"/>
                    <a:invGamma/>
                  </a:srgbClr>
                </a:gs>
              </a:gsLst>
              <a:lin ang="2700000" scaled="1"/>
            </a:gradFill>
            <a:ln w="9525">
              <a:solidFill>
                <a:srgbClr val="000000"/>
              </a:solidFill>
              <a:miter lim="800000"/>
              <a:headEnd/>
              <a:tailEnd/>
            </a:ln>
          </xdr:spPr>
          <xdr:txBody>
            <a:bodyPr vertOverflow="clip" wrap="square" lIns="36576" tIns="32004" rIns="0" bIns="0" anchor="t" upright="1"/>
            <a:lstStyle/>
            <a:p>
              <a:pPr algn="l" rtl="0">
                <a:defRPr sz="1000"/>
              </a:pPr>
              <a:r>
                <a:rPr lang="el-GR" sz="1600" b="0" i="0" strike="noStrike">
                  <a:solidFill>
                    <a:srgbClr val="000000"/>
                  </a:solidFill>
                  <a:latin typeface="Arial"/>
                  <a:cs typeface="Arial"/>
                </a:rPr>
                <a:t>υ</a:t>
              </a:r>
              <a:r>
                <a:rPr lang="el-GR" sz="900" b="0" i="0" strike="noStrike">
                  <a:solidFill>
                    <a:srgbClr val="000000"/>
                  </a:solidFill>
                  <a:latin typeface="Arial"/>
                  <a:cs typeface="Arial"/>
                </a:rPr>
                <a:t>2αρχ.</a:t>
              </a:r>
              <a:r>
                <a:rPr lang="el-GR" sz="1600" b="0" i="0" strike="noStrike">
                  <a:solidFill>
                    <a:srgbClr val="000000"/>
                  </a:solidFill>
                  <a:latin typeface="Arial"/>
                  <a:cs typeface="Arial"/>
                </a:rPr>
                <a:t>:μηδενική</a:t>
              </a:r>
            </a:p>
          </xdr:txBody>
        </xdr:sp>
        <xdr:grpSp>
          <xdr:nvGrpSpPr>
            <xdr:cNvPr id="1330" name="Group 306"/>
            <xdr:cNvGrpSpPr>
              <a:grpSpLocks/>
            </xdr:cNvGrpSpPr>
          </xdr:nvGrpSpPr>
          <xdr:grpSpPr bwMode="auto">
            <a:xfrm>
              <a:off x="1124" y="1279"/>
              <a:ext cx="39" cy="35"/>
              <a:chOff x="1124" y="1279"/>
              <a:chExt cx="39" cy="35"/>
            </a:xfrm>
          </xdr:grpSpPr>
          <xdr:sp macro="" textlink="">
            <xdr:nvSpPr>
              <xdr:cNvPr id="1319" name="Text Box 295"/>
              <xdr:cNvSpPr txBox="1">
                <a:spLocks noChangeArrowheads="1"/>
              </xdr:cNvSpPr>
            </xdr:nvSpPr>
            <xdr:spPr bwMode="auto">
              <a:xfrm>
                <a:off x="1124" y="1279"/>
                <a:ext cx="39" cy="35"/>
              </a:xfrm>
              <a:prstGeom prst="rect">
                <a:avLst/>
              </a:prstGeom>
              <a:gradFill rotWithShape="0">
                <a:gsLst>
                  <a:gs pos="0">
                    <a:srgbClr val="FFCC00"/>
                  </a:gs>
                  <a:gs pos="100000">
                    <a:srgbClr val="FFCC00">
                      <a:gamma/>
                      <a:shade val="68627"/>
                      <a:invGamma/>
                    </a:srgbClr>
                  </a:gs>
                </a:gsLst>
                <a:lin ang="2700000" scaled="1"/>
              </a:gradFill>
              <a:ln w="9525">
                <a:solidFill>
                  <a:srgbClr val="000000"/>
                </a:solidFill>
                <a:miter lim="800000"/>
                <a:headEnd/>
                <a:tailEnd/>
              </a:ln>
            </xdr:spPr>
            <xdr:txBody>
              <a:bodyPr vertOverflow="clip" wrap="square" lIns="36576" tIns="32004" rIns="0" bIns="0" anchor="t" upright="1"/>
              <a:lstStyle/>
              <a:p>
                <a:pPr algn="l" rtl="0">
                  <a:defRPr sz="1000"/>
                </a:pPr>
                <a:r>
                  <a:rPr lang="el-GR" sz="1600" b="0" i="0" strike="noStrike">
                    <a:solidFill>
                      <a:srgbClr val="000000"/>
                    </a:solidFill>
                    <a:latin typeface="Arial"/>
                    <a:cs typeface="Arial"/>
                  </a:rPr>
                  <a:t>υ</a:t>
                </a:r>
                <a:r>
                  <a:rPr lang="el-GR" sz="900" b="0" i="0" strike="noStrike">
                    <a:solidFill>
                      <a:srgbClr val="000000"/>
                    </a:solidFill>
                    <a:latin typeface="Arial"/>
                    <a:cs typeface="Arial"/>
                  </a:rPr>
                  <a:t>1</a:t>
                </a:r>
              </a:p>
            </xdr:txBody>
          </xdr:sp>
          <xdr:sp macro="" textlink="">
            <xdr:nvSpPr>
              <xdr:cNvPr id="1321" name="Line 297"/>
              <xdr:cNvSpPr>
                <a:spLocks noChangeShapeType="1"/>
              </xdr:cNvSpPr>
            </xdr:nvSpPr>
            <xdr:spPr bwMode="auto">
              <a:xfrm>
                <a:off x="1152" y="1284"/>
                <a:ext cx="0" cy="23"/>
              </a:xfrm>
              <a:prstGeom prst="line">
                <a:avLst/>
              </a:prstGeom>
              <a:noFill/>
              <a:ln w="19050">
                <a:solidFill>
                  <a:srgbClr val="800000"/>
                </a:solidFill>
                <a:round/>
                <a:headEnd/>
                <a:tailEnd type="triangle" w="med" len="med"/>
              </a:ln>
            </xdr:spPr>
          </xdr:sp>
        </xdr:grpSp>
        <xdr:sp macro="" textlink="">
          <xdr:nvSpPr>
            <xdr:cNvPr id="1322" name="Text Box 298"/>
            <xdr:cNvSpPr txBox="1">
              <a:spLocks noChangeArrowheads="1"/>
            </xdr:cNvSpPr>
          </xdr:nvSpPr>
          <xdr:spPr bwMode="auto">
            <a:xfrm>
              <a:off x="1255" y="1361"/>
              <a:ext cx="39" cy="35"/>
            </a:xfrm>
            <a:prstGeom prst="rect">
              <a:avLst/>
            </a:prstGeom>
            <a:gradFill rotWithShape="0">
              <a:gsLst>
                <a:gs pos="0">
                  <a:srgbClr val="FFCC00"/>
                </a:gs>
                <a:gs pos="100000">
                  <a:srgbClr val="FFCC00">
                    <a:gamma/>
                    <a:shade val="70980"/>
                    <a:invGamma/>
                  </a:srgbClr>
                </a:gs>
              </a:gsLst>
              <a:lin ang="2700000" scaled="1"/>
            </a:gradFill>
            <a:ln w="9525">
              <a:solidFill>
                <a:srgbClr val="000000"/>
              </a:solidFill>
              <a:miter lim="800000"/>
              <a:headEnd/>
              <a:tailEnd/>
            </a:ln>
          </xdr:spPr>
          <xdr:txBody>
            <a:bodyPr vertOverflow="clip" wrap="square" lIns="36576" tIns="32004" rIns="0" bIns="0" anchor="t" upright="1"/>
            <a:lstStyle/>
            <a:p>
              <a:pPr algn="l" rtl="0">
                <a:defRPr sz="1000"/>
              </a:pPr>
              <a:r>
                <a:rPr lang="el-GR" sz="1600" b="0" i="0" strike="noStrike">
                  <a:solidFill>
                    <a:srgbClr val="000000"/>
                  </a:solidFill>
                  <a:latin typeface="Arial"/>
                  <a:cs typeface="Arial"/>
                </a:rPr>
                <a:t>υ</a:t>
              </a:r>
              <a:r>
                <a:rPr lang="el-GR" sz="900" b="0" i="0" strike="noStrike">
                  <a:solidFill>
                    <a:srgbClr val="000000"/>
                  </a:solidFill>
                  <a:latin typeface="Arial"/>
                  <a:cs typeface="Arial"/>
                </a:rPr>
                <a:t>2</a:t>
              </a:r>
            </a:p>
          </xdr:txBody>
        </xdr:sp>
        <xdr:sp macro="" textlink="">
          <xdr:nvSpPr>
            <xdr:cNvPr id="1328" name="Freeform 304"/>
            <xdr:cNvSpPr>
              <a:spLocks/>
            </xdr:cNvSpPr>
          </xdr:nvSpPr>
          <xdr:spPr bwMode="auto">
            <a:xfrm>
              <a:off x="1154" y="1256"/>
              <a:ext cx="51" cy="59"/>
            </a:xfrm>
            <a:custGeom>
              <a:avLst/>
              <a:gdLst/>
              <a:ahLst/>
              <a:cxnLst>
                <a:cxn ang="0">
                  <a:pos x="0" y="0"/>
                </a:cxn>
                <a:cxn ang="0">
                  <a:pos x="38" y="17"/>
                </a:cxn>
                <a:cxn ang="0">
                  <a:pos x="51" y="59"/>
                </a:cxn>
              </a:cxnLst>
              <a:rect l="0" t="0" r="r" b="b"/>
              <a:pathLst>
                <a:path w="51" h="59">
                  <a:moveTo>
                    <a:pt x="0" y="0"/>
                  </a:moveTo>
                  <a:cubicBezTo>
                    <a:pt x="15" y="3"/>
                    <a:pt x="30" y="7"/>
                    <a:pt x="38" y="17"/>
                  </a:cubicBezTo>
                  <a:cubicBezTo>
                    <a:pt x="46" y="27"/>
                    <a:pt x="48" y="43"/>
                    <a:pt x="51" y="59"/>
                  </a:cubicBezTo>
                </a:path>
              </a:pathLst>
            </a:custGeom>
            <a:noFill/>
            <a:ln w="19050" cmpd="sng">
              <a:solidFill>
                <a:srgbClr val="FF0000"/>
              </a:solidFill>
              <a:round/>
              <a:headEnd type="none" w="med" len="med"/>
              <a:tailEnd type="triangle" w="med" len="med"/>
            </a:ln>
          </xdr:spPr>
        </xdr:sp>
        <xdr:sp macro="" textlink="">
          <xdr:nvSpPr>
            <xdr:cNvPr id="1329" name="Freeform 305"/>
            <xdr:cNvSpPr>
              <a:spLocks/>
            </xdr:cNvSpPr>
          </xdr:nvSpPr>
          <xdr:spPr bwMode="auto">
            <a:xfrm rot="10800000">
              <a:off x="1213" y="1359"/>
              <a:ext cx="51" cy="59"/>
            </a:xfrm>
            <a:custGeom>
              <a:avLst/>
              <a:gdLst/>
              <a:ahLst/>
              <a:cxnLst>
                <a:cxn ang="0">
                  <a:pos x="0" y="0"/>
                </a:cxn>
                <a:cxn ang="0">
                  <a:pos x="38" y="17"/>
                </a:cxn>
                <a:cxn ang="0">
                  <a:pos x="51" y="59"/>
                </a:cxn>
              </a:cxnLst>
              <a:rect l="0" t="0" r="r" b="b"/>
              <a:pathLst>
                <a:path w="51" h="59">
                  <a:moveTo>
                    <a:pt x="0" y="0"/>
                  </a:moveTo>
                  <a:cubicBezTo>
                    <a:pt x="15" y="3"/>
                    <a:pt x="30" y="7"/>
                    <a:pt x="38" y="17"/>
                  </a:cubicBezTo>
                  <a:cubicBezTo>
                    <a:pt x="46" y="27"/>
                    <a:pt x="48" y="43"/>
                    <a:pt x="51" y="59"/>
                  </a:cubicBezTo>
                </a:path>
              </a:pathLst>
            </a:custGeom>
            <a:noFill/>
            <a:ln w="19050" cmpd="sng">
              <a:solidFill>
                <a:srgbClr val="FF0000"/>
              </a:solidFill>
              <a:round/>
              <a:headEnd type="none" w="med" len="med"/>
              <a:tailEnd type="triangle" w="med" len="med"/>
            </a:ln>
          </xdr:spPr>
        </xdr:sp>
      </xdr:grpSp>
      <xdr:sp macro="" textlink="">
        <xdr:nvSpPr>
          <xdr:cNvPr id="1481" name="Line 457"/>
          <xdr:cNvSpPr>
            <a:spLocks noChangeShapeType="1"/>
          </xdr:cNvSpPr>
        </xdr:nvSpPr>
        <xdr:spPr bwMode="auto">
          <a:xfrm flipV="1">
            <a:off x="1283" y="1380"/>
            <a:ext cx="0" cy="22"/>
          </a:xfrm>
          <a:prstGeom prst="line">
            <a:avLst/>
          </a:prstGeom>
          <a:noFill/>
          <a:ln w="19050">
            <a:solidFill>
              <a:srgbClr val="800000"/>
            </a:solidFill>
            <a:round/>
            <a:headEnd/>
            <a:tailEnd type="triangle" w="med" len="med"/>
          </a:ln>
        </xdr:spPr>
      </xdr:sp>
    </xdr:grpSp>
    <xdr:clientData/>
  </xdr:twoCellAnchor>
  <xdr:twoCellAnchor>
    <xdr:from>
      <xdr:col>10</xdr:col>
      <xdr:colOff>161925</xdr:colOff>
      <xdr:row>13</xdr:row>
      <xdr:rowOff>114300</xdr:rowOff>
    </xdr:from>
    <xdr:to>
      <xdr:col>13</xdr:col>
      <xdr:colOff>247650</xdr:colOff>
      <xdr:row>17</xdr:row>
      <xdr:rowOff>95250</xdr:rowOff>
    </xdr:to>
    <xdr:grpSp>
      <xdr:nvGrpSpPr>
        <xdr:cNvPr id="1490" name="Group 466"/>
        <xdr:cNvGrpSpPr>
          <a:grpSpLocks/>
        </xdr:cNvGrpSpPr>
      </xdr:nvGrpSpPr>
      <xdr:grpSpPr bwMode="auto">
        <a:xfrm>
          <a:off x="6362700" y="2343150"/>
          <a:ext cx="2152650" cy="666750"/>
          <a:chOff x="668" y="186"/>
          <a:chExt cx="213" cy="68"/>
        </a:xfrm>
      </xdr:grpSpPr>
      <xdr:sp macro="" textlink="">
        <xdr:nvSpPr>
          <xdr:cNvPr id="1491" name="AutoShape 467"/>
          <xdr:cNvSpPr>
            <a:spLocks noChangeArrowheads="1"/>
          </xdr:cNvSpPr>
        </xdr:nvSpPr>
        <xdr:spPr bwMode="auto">
          <a:xfrm>
            <a:off x="668" y="186"/>
            <a:ext cx="213" cy="68"/>
          </a:xfrm>
          <a:prstGeom prst="rightArrow">
            <a:avLst>
              <a:gd name="adj1" fmla="val 50000"/>
              <a:gd name="adj2" fmla="val 78309"/>
            </a:avLst>
          </a:prstGeom>
          <a:gradFill rotWithShape="1">
            <a:gsLst>
              <a:gs pos="0">
                <a:srgbClr val="003300"/>
              </a:gs>
              <a:gs pos="100000">
                <a:srgbClr val="003300">
                  <a:gamma/>
                  <a:shade val="0"/>
                  <a:invGamma/>
                </a:srgbClr>
              </a:gs>
            </a:gsLst>
            <a:lin ang="5400000" scaled="1"/>
          </a:gradFill>
          <a:ln w="9525">
            <a:solidFill>
              <a:srgbClr val="FFFF00"/>
            </a:solidFill>
            <a:miter lim="800000"/>
            <a:headEnd/>
            <a:tailEnd/>
          </a:ln>
        </xdr:spPr>
      </xdr:sp>
      <xdr:sp macro="" textlink="">
        <xdr:nvSpPr>
          <xdr:cNvPr id="1492" name="Text Box 468"/>
          <xdr:cNvSpPr txBox="1">
            <a:spLocks noChangeArrowheads="1"/>
          </xdr:cNvSpPr>
        </xdr:nvSpPr>
        <xdr:spPr bwMode="auto">
          <a:xfrm>
            <a:off x="709" y="210"/>
            <a:ext cx="86" cy="22"/>
          </a:xfrm>
          <a:prstGeom prst="rect">
            <a:avLst/>
          </a:prstGeom>
          <a:gradFill rotWithShape="1">
            <a:gsLst>
              <a:gs pos="0">
                <a:srgbClr val="003300"/>
              </a:gs>
              <a:gs pos="100000">
                <a:srgbClr val="003300">
                  <a:gamma/>
                  <a:shade val="0"/>
                  <a:invGamma/>
                </a:srgbClr>
              </a:gs>
            </a:gsLst>
            <a:lin ang="5400000" scaled="1"/>
          </a:gradFill>
          <a:ln w="9525">
            <a:noFill/>
            <a:miter lim="800000"/>
            <a:headEnd/>
            <a:tailEnd/>
          </a:ln>
        </xdr:spPr>
        <xdr:txBody>
          <a:bodyPr vertOverflow="clip" wrap="square" lIns="36576" tIns="27432" rIns="0" bIns="0" anchor="t" upright="1"/>
          <a:lstStyle/>
          <a:p>
            <a:pPr algn="l" rtl="0">
              <a:defRPr sz="1000"/>
            </a:pPr>
            <a:r>
              <a:rPr lang="el-GR" sz="1200" b="1" i="0" strike="noStrike">
                <a:solidFill>
                  <a:srgbClr val="FF6600"/>
                </a:solidFill>
                <a:latin typeface="Arial"/>
                <a:cs typeface="Arial"/>
              </a:rPr>
              <a:t>ΒΟΗΘΕΙΑ</a:t>
            </a:r>
          </a:p>
        </xdr:txBody>
      </xdr:sp>
    </xdr:grpSp>
    <xdr:clientData/>
  </xdr:twoCellAnchor>
  <xdr:twoCellAnchor>
    <xdr:from>
      <xdr:col>15</xdr:col>
      <xdr:colOff>495300</xdr:colOff>
      <xdr:row>324</xdr:row>
      <xdr:rowOff>180975</xdr:rowOff>
    </xdr:from>
    <xdr:to>
      <xdr:col>20</xdr:col>
      <xdr:colOff>114300</xdr:colOff>
      <xdr:row>325</xdr:row>
      <xdr:rowOff>28575</xdr:rowOff>
    </xdr:to>
    <xdr:grpSp>
      <xdr:nvGrpSpPr>
        <xdr:cNvPr id="1506" name="Group 482"/>
        <xdr:cNvGrpSpPr>
          <a:grpSpLocks/>
        </xdr:cNvGrpSpPr>
      </xdr:nvGrpSpPr>
      <xdr:grpSpPr bwMode="auto">
        <a:xfrm>
          <a:off x="9382125" y="57597675"/>
          <a:ext cx="2667000" cy="28575"/>
          <a:chOff x="972" y="5720"/>
          <a:chExt cx="280" cy="5"/>
        </a:xfrm>
      </xdr:grpSpPr>
      <xdr:grpSp>
        <xdr:nvGrpSpPr>
          <xdr:cNvPr id="1500" name="Group 476"/>
          <xdr:cNvGrpSpPr>
            <a:grpSpLocks/>
          </xdr:cNvGrpSpPr>
        </xdr:nvGrpSpPr>
        <xdr:grpSpPr bwMode="auto">
          <a:xfrm>
            <a:off x="972" y="5720"/>
            <a:ext cx="267" cy="5"/>
            <a:chOff x="972" y="5720"/>
            <a:chExt cx="267" cy="5"/>
          </a:xfrm>
        </xdr:grpSpPr>
        <xdr:sp macro="" textlink="">
          <xdr:nvSpPr>
            <xdr:cNvPr id="1433" name="Line 409"/>
            <xdr:cNvSpPr>
              <a:spLocks noChangeShapeType="1"/>
            </xdr:cNvSpPr>
          </xdr:nvSpPr>
          <xdr:spPr bwMode="auto">
            <a:xfrm>
              <a:off x="981" y="5722"/>
              <a:ext cx="195" cy="0"/>
            </a:xfrm>
            <a:prstGeom prst="line">
              <a:avLst/>
            </a:prstGeom>
            <a:noFill/>
            <a:ln w="9525">
              <a:solidFill>
                <a:srgbClr val="FF0000"/>
              </a:solidFill>
              <a:round/>
              <a:headEnd/>
              <a:tailEnd/>
            </a:ln>
          </xdr:spPr>
        </xdr:sp>
        <xdr:grpSp>
          <xdr:nvGrpSpPr>
            <xdr:cNvPr id="1443" name="Group 419"/>
            <xdr:cNvGrpSpPr>
              <a:grpSpLocks/>
            </xdr:cNvGrpSpPr>
          </xdr:nvGrpSpPr>
          <xdr:grpSpPr bwMode="auto">
            <a:xfrm>
              <a:off x="1180" y="5720"/>
              <a:ext cx="8" cy="4"/>
              <a:chOff x="1180" y="5786"/>
              <a:chExt cx="8" cy="4"/>
            </a:xfrm>
          </xdr:grpSpPr>
          <xdr:sp macro="" textlink="">
            <xdr:nvSpPr>
              <xdr:cNvPr id="1435" name="Line 411"/>
              <xdr:cNvSpPr>
                <a:spLocks noChangeShapeType="1"/>
              </xdr:cNvSpPr>
            </xdr:nvSpPr>
            <xdr:spPr bwMode="auto">
              <a:xfrm>
                <a:off x="1180" y="5786"/>
                <a:ext cx="8" cy="0"/>
              </a:xfrm>
              <a:prstGeom prst="line">
                <a:avLst/>
              </a:prstGeom>
              <a:noFill/>
              <a:ln w="19050">
                <a:solidFill>
                  <a:srgbClr val="FF0000"/>
                </a:solidFill>
                <a:round/>
                <a:headEnd/>
                <a:tailEnd/>
              </a:ln>
            </xdr:spPr>
          </xdr:sp>
          <xdr:sp macro="" textlink="">
            <xdr:nvSpPr>
              <xdr:cNvPr id="1440" name="Line 416"/>
              <xdr:cNvSpPr>
                <a:spLocks noChangeShapeType="1"/>
              </xdr:cNvSpPr>
            </xdr:nvSpPr>
            <xdr:spPr bwMode="auto">
              <a:xfrm>
                <a:off x="1180" y="5790"/>
                <a:ext cx="8" cy="0"/>
              </a:xfrm>
              <a:prstGeom prst="line">
                <a:avLst/>
              </a:prstGeom>
              <a:noFill/>
              <a:ln w="19050">
                <a:solidFill>
                  <a:srgbClr val="FF0000"/>
                </a:solidFill>
                <a:round/>
                <a:headEnd/>
                <a:tailEnd/>
              </a:ln>
            </xdr:spPr>
          </xdr:sp>
        </xdr:grpSp>
        <xdr:sp macro="" textlink="">
          <xdr:nvSpPr>
            <xdr:cNvPr id="1442" name="Line 418"/>
            <xdr:cNvSpPr>
              <a:spLocks noChangeShapeType="1"/>
            </xdr:cNvSpPr>
          </xdr:nvSpPr>
          <xdr:spPr bwMode="auto">
            <a:xfrm>
              <a:off x="1191" y="5722"/>
              <a:ext cx="48" cy="0"/>
            </a:xfrm>
            <a:prstGeom prst="line">
              <a:avLst/>
            </a:prstGeom>
            <a:noFill/>
            <a:ln w="9525">
              <a:solidFill>
                <a:srgbClr val="FF0000"/>
              </a:solidFill>
              <a:round/>
              <a:headEnd/>
              <a:tailEnd/>
            </a:ln>
          </xdr:spPr>
        </xdr:sp>
        <xdr:grpSp>
          <xdr:nvGrpSpPr>
            <xdr:cNvPr id="1467" name="Group 443"/>
            <xdr:cNvGrpSpPr>
              <a:grpSpLocks/>
            </xdr:cNvGrpSpPr>
          </xdr:nvGrpSpPr>
          <xdr:grpSpPr bwMode="auto">
            <a:xfrm>
              <a:off x="972" y="5720"/>
              <a:ext cx="8" cy="5"/>
              <a:chOff x="972" y="5901"/>
              <a:chExt cx="8" cy="5"/>
            </a:xfrm>
          </xdr:grpSpPr>
          <xdr:sp macro="" textlink="">
            <xdr:nvSpPr>
              <xdr:cNvPr id="1468" name="Line 444"/>
              <xdr:cNvSpPr>
                <a:spLocks noChangeShapeType="1"/>
              </xdr:cNvSpPr>
            </xdr:nvSpPr>
            <xdr:spPr bwMode="auto">
              <a:xfrm>
                <a:off x="972" y="5901"/>
                <a:ext cx="8" cy="0"/>
              </a:xfrm>
              <a:prstGeom prst="line">
                <a:avLst/>
              </a:prstGeom>
              <a:noFill/>
              <a:ln w="19050">
                <a:solidFill>
                  <a:srgbClr val="FF0000"/>
                </a:solidFill>
                <a:round/>
                <a:headEnd/>
                <a:tailEnd/>
              </a:ln>
            </xdr:spPr>
          </xdr:sp>
          <xdr:sp macro="" textlink="">
            <xdr:nvSpPr>
              <xdr:cNvPr id="1469" name="Line 445"/>
              <xdr:cNvSpPr>
                <a:spLocks noChangeShapeType="1"/>
              </xdr:cNvSpPr>
            </xdr:nvSpPr>
            <xdr:spPr bwMode="auto">
              <a:xfrm>
                <a:off x="972" y="5906"/>
                <a:ext cx="8" cy="0"/>
              </a:xfrm>
              <a:prstGeom prst="line">
                <a:avLst/>
              </a:prstGeom>
              <a:noFill/>
              <a:ln w="19050">
                <a:solidFill>
                  <a:srgbClr val="FF0000"/>
                </a:solidFill>
                <a:round/>
                <a:headEnd/>
                <a:tailEnd/>
              </a:ln>
            </xdr:spPr>
          </xdr:sp>
        </xdr:grpSp>
      </xdr:grpSp>
      <xdr:grpSp>
        <xdr:nvGrpSpPr>
          <xdr:cNvPr id="1503" name="Group 479"/>
          <xdr:cNvGrpSpPr>
            <a:grpSpLocks/>
          </xdr:cNvGrpSpPr>
        </xdr:nvGrpSpPr>
        <xdr:grpSpPr bwMode="auto">
          <a:xfrm>
            <a:off x="1244" y="5720"/>
            <a:ext cx="8" cy="4"/>
            <a:chOff x="972" y="5901"/>
            <a:chExt cx="8" cy="5"/>
          </a:xfrm>
        </xdr:grpSpPr>
        <xdr:sp macro="" textlink="">
          <xdr:nvSpPr>
            <xdr:cNvPr id="1504" name="Line 480"/>
            <xdr:cNvSpPr>
              <a:spLocks noChangeShapeType="1"/>
            </xdr:cNvSpPr>
          </xdr:nvSpPr>
          <xdr:spPr bwMode="auto">
            <a:xfrm>
              <a:off x="972" y="5901"/>
              <a:ext cx="8" cy="0"/>
            </a:xfrm>
            <a:prstGeom prst="line">
              <a:avLst/>
            </a:prstGeom>
            <a:noFill/>
            <a:ln w="19050">
              <a:solidFill>
                <a:srgbClr val="FF0000"/>
              </a:solidFill>
              <a:round/>
              <a:headEnd/>
              <a:tailEnd/>
            </a:ln>
          </xdr:spPr>
        </xdr:sp>
        <xdr:sp macro="" textlink="">
          <xdr:nvSpPr>
            <xdr:cNvPr id="1505" name="Line 481"/>
            <xdr:cNvSpPr>
              <a:spLocks noChangeShapeType="1"/>
            </xdr:cNvSpPr>
          </xdr:nvSpPr>
          <xdr:spPr bwMode="auto">
            <a:xfrm>
              <a:off x="972" y="5906"/>
              <a:ext cx="8" cy="0"/>
            </a:xfrm>
            <a:prstGeom prst="line">
              <a:avLst/>
            </a:prstGeom>
            <a:noFill/>
            <a:ln w="19050">
              <a:solidFill>
                <a:srgbClr val="FF0000"/>
              </a:solidFill>
              <a:round/>
              <a:headEnd/>
              <a:tailEnd/>
            </a:ln>
          </xdr:spPr>
        </xdr:sp>
      </xdr:grpSp>
    </xdr:grpSp>
    <xdr:clientData/>
  </xdr:twoCellAnchor>
  <xdr:twoCellAnchor>
    <xdr:from>
      <xdr:col>11</xdr:col>
      <xdr:colOff>514350</xdr:colOff>
      <xdr:row>435</xdr:row>
      <xdr:rowOff>9525</xdr:rowOff>
    </xdr:from>
    <xdr:to>
      <xdr:col>17</xdr:col>
      <xdr:colOff>438150</xdr:colOff>
      <xdr:row>453</xdr:row>
      <xdr:rowOff>133350</xdr:rowOff>
    </xdr:to>
    <xdr:grpSp>
      <xdr:nvGrpSpPr>
        <xdr:cNvPr id="1517" name="Group 493"/>
        <xdr:cNvGrpSpPr>
          <a:grpSpLocks/>
        </xdr:cNvGrpSpPr>
      </xdr:nvGrpSpPr>
      <xdr:grpSpPr bwMode="auto">
        <a:xfrm>
          <a:off x="7562850" y="77333475"/>
          <a:ext cx="2981325" cy="3295650"/>
          <a:chOff x="781" y="7651"/>
          <a:chExt cx="313" cy="328"/>
        </a:xfrm>
      </xdr:grpSpPr>
      <xdr:sp macro="" textlink="">
        <xdr:nvSpPr>
          <xdr:cNvPr id="1285" name="AutoShape 261"/>
          <xdr:cNvSpPr>
            <a:spLocks noChangeArrowheads="1"/>
          </xdr:cNvSpPr>
        </xdr:nvSpPr>
        <xdr:spPr bwMode="auto">
          <a:xfrm>
            <a:off x="781" y="7651"/>
            <a:ext cx="313" cy="189"/>
          </a:xfrm>
          <a:prstGeom prst="wedgeRoundRectCallout">
            <a:avLst>
              <a:gd name="adj1" fmla="val -29231"/>
              <a:gd name="adj2" fmla="val 75398"/>
              <a:gd name="adj3" fmla="val 16667"/>
            </a:avLst>
          </a:prstGeom>
          <a:gradFill rotWithShape="0">
            <a:gsLst>
              <a:gs pos="0">
                <a:srgbClr val="FFCC00"/>
              </a:gs>
              <a:gs pos="100000">
                <a:srgbClr val="FF6600"/>
              </a:gs>
            </a:gsLst>
            <a:path path="rect">
              <a:fillToRect t="100000" r="100000"/>
            </a:path>
          </a:gradFill>
          <a:ln w="9525">
            <a:solidFill>
              <a:srgbClr val="000000"/>
            </a:solidFill>
            <a:miter lim="800000"/>
            <a:headEnd/>
            <a:tailEnd/>
          </a:ln>
        </xdr:spPr>
        <xdr:txBody>
          <a:bodyPr vertOverflow="clip" wrap="square" lIns="27432" tIns="22860" rIns="0" bIns="0" anchor="t" upright="1"/>
          <a:lstStyle/>
          <a:p>
            <a:pPr algn="l" rtl="0">
              <a:defRPr sz="1000"/>
            </a:pPr>
            <a:r>
              <a:rPr lang="el-GR" sz="1000" b="1" i="0" strike="noStrike">
                <a:solidFill>
                  <a:srgbClr val="000000"/>
                </a:solidFill>
                <a:latin typeface="Arial"/>
                <a:cs typeface="Arial"/>
              </a:rPr>
              <a:t>ΠΡΟΣΟΧΗ!</a:t>
            </a:r>
            <a:r>
              <a:rPr lang="el-GR" sz="1000" b="0" i="0" strike="noStrike">
                <a:solidFill>
                  <a:srgbClr val="000000"/>
                </a:solidFill>
                <a:latin typeface="Arial"/>
                <a:cs typeface="Arial"/>
              </a:rPr>
              <a:t> Για κάποια από τα προβλήματα που ακολουθούν, μπορείς αν δυσκολευτείς στην επί-λυσή τους, να δεις τη λύση τους, γράφοντας τη λέξη </a:t>
            </a:r>
            <a:r>
              <a:rPr lang="el-GR" sz="1000" b="1" i="0" strike="noStrike">
                <a:solidFill>
                  <a:srgbClr val="000000"/>
                </a:solidFill>
                <a:latin typeface="Arial"/>
                <a:cs typeface="Arial"/>
              </a:rPr>
              <a:t>"ναι"</a:t>
            </a:r>
            <a:r>
              <a:rPr lang="el-GR" sz="1000" b="0" i="0" strike="noStrike">
                <a:solidFill>
                  <a:srgbClr val="000000"/>
                </a:solidFill>
                <a:latin typeface="Arial"/>
                <a:cs typeface="Arial"/>
              </a:rPr>
              <a:t> στο κελί που θα σου υποδειχθεί και στη συνέχεια πατώντας το κουμπί "</a:t>
            </a:r>
            <a:r>
              <a:rPr lang="en-US" sz="1000" b="0" i="0" strike="noStrike">
                <a:solidFill>
                  <a:srgbClr val="000000"/>
                </a:solidFill>
                <a:latin typeface="Arial"/>
                <a:cs typeface="Arial"/>
              </a:rPr>
              <a:t>Enter". </a:t>
            </a:r>
            <a:r>
              <a:rPr lang="el-GR" sz="1000" b="0" i="0" strike="noStrike">
                <a:solidFill>
                  <a:srgbClr val="000000"/>
                </a:solidFill>
                <a:latin typeface="Arial"/>
                <a:cs typeface="Arial"/>
              </a:rPr>
              <a:t>Αν κάνεις όμως κάτι τέτοιο, να γνωρίζεις ότι δε θα πάρεις καθόλου πόντους στο συγκεκριμένο πρό-βλημα. Ζαβολιές δε συνιστώνται αν θέλεις πραγ-τικά μέσα από αυτό το </a:t>
            </a:r>
            <a:r>
              <a:rPr lang="en-US" sz="1000" b="0" i="0" strike="noStrike">
                <a:solidFill>
                  <a:srgbClr val="000000"/>
                </a:solidFill>
                <a:latin typeface="Arial"/>
                <a:cs typeface="Arial"/>
              </a:rPr>
              <a:t>test </a:t>
            </a:r>
            <a:r>
              <a:rPr lang="el-GR" sz="1000" b="0" i="0" strike="noStrike">
                <a:solidFill>
                  <a:srgbClr val="000000"/>
                </a:solidFill>
                <a:latin typeface="Arial"/>
                <a:cs typeface="Arial"/>
              </a:rPr>
              <a:t>να μετρήσεις τις δυ-νάμεις σου στη Χημική Ισορροπία.</a:t>
            </a:r>
          </a:p>
        </xdr:txBody>
      </xdr:sp>
    </xdr:grpSp>
    <xdr:clientData/>
  </xdr:twoCellAnchor>
  <xdr:twoCellAnchor>
    <xdr:from>
      <xdr:col>9</xdr:col>
      <xdr:colOff>171450</xdr:colOff>
      <xdr:row>83</xdr:row>
      <xdr:rowOff>66675</xdr:rowOff>
    </xdr:from>
    <xdr:to>
      <xdr:col>13</xdr:col>
      <xdr:colOff>409575</xdr:colOff>
      <xdr:row>90</xdr:row>
      <xdr:rowOff>9525</xdr:rowOff>
    </xdr:to>
    <xdr:sp macro="" textlink="">
      <xdr:nvSpPr>
        <xdr:cNvPr id="1196" name="AutoShape 172"/>
        <xdr:cNvSpPr>
          <a:spLocks noChangeArrowheads="1"/>
        </xdr:cNvSpPr>
      </xdr:nvSpPr>
      <xdr:spPr bwMode="auto">
        <a:xfrm>
          <a:off x="5724525" y="14782800"/>
          <a:ext cx="2828925" cy="1076325"/>
        </a:xfrm>
        <a:prstGeom prst="wedgeRoundRectCallout">
          <a:avLst>
            <a:gd name="adj1" fmla="val -30472"/>
            <a:gd name="adj2" fmla="val 78319"/>
            <a:gd name="adj3" fmla="val 16667"/>
          </a:avLst>
        </a:prstGeom>
        <a:gradFill rotWithShape="0">
          <a:gsLst>
            <a:gs pos="0">
              <a:srgbClr val="FFCC00"/>
            </a:gs>
            <a:gs pos="100000">
              <a:srgbClr val="FF6600"/>
            </a:gs>
          </a:gsLst>
          <a:path path="rect">
            <a:fillToRect l="100000" b="100000"/>
          </a:path>
        </a:gradFill>
        <a:ln w="9525">
          <a:solidFill>
            <a:srgbClr val="000000"/>
          </a:solidFill>
          <a:miter lim="800000"/>
          <a:headEnd/>
          <a:tailEnd/>
        </a:ln>
      </xdr:spPr>
      <xdr:txBody>
        <a:bodyPr vertOverflow="clip" wrap="square" lIns="27432" tIns="22860" rIns="0" bIns="0" anchor="t" upright="1"/>
        <a:lstStyle/>
        <a:p>
          <a:pPr algn="l" rtl="0">
            <a:defRPr sz="1000"/>
          </a:pPr>
          <a:r>
            <a:rPr lang="el-GR" sz="1000" b="0" i="0" strike="noStrike">
              <a:solidFill>
                <a:srgbClr val="000000"/>
              </a:solidFill>
              <a:latin typeface="Arial"/>
              <a:cs typeface="Arial"/>
            </a:rPr>
            <a:t>Η απορία σου για αυτά τα μικρά </a:t>
          </a:r>
          <a:r>
            <a:rPr lang="el-GR" sz="1000" b="1" i="0" strike="noStrike">
              <a:solidFill>
                <a:srgbClr val="FF0000"/>
              </a:solidFill>
              <a:latin typeface="Arial"/>
              <a:cs typeface="Arial"/>
            </a:rPr>
            <a:t>κόκκινα</a:t>
          </a:r>
          <a:r>
            <a:rPr lang="el-GR" sz="1000" b="0" i="0" strike="noStrike">
              <a:solidFill>
                <a:srgbClr val="000000"/>
              </a:solidFill>
              <a:latin typeface="Arial"/>
              <a:cs typeface="Arial"/>
            </a:rPr>
            <a:t> τρι-γωνικά σημάδια που υπάρχουν στην πάνω δε- ξιά γωνία ορισμένων κελιών, όπως τα </a:t>
          </a:r>
          <a:r>
            <a:rPr lang="en-US" sz="1000" b="1" i="0" strike="noStrike">
              <a:solidFill>
                <a:srgbClr val="000000"/>
              </a:solidFill>
              <a:latin typeface="Arial"/>
              <a:cs typeface="Arial"/>
            </a:rPr>
            <a:t>C98</a:t>
          </a:r>
          <a:r>
            <a:rPr lang="en-US" sz="1000" b="0" i="0" strike="noStrike">
              <a:solidFill>
                <a:srgbClr val="000000"/>
              </a:solidFill>
              <a:latin typeface="Arial"/>
              <a:cs typeface="Arial"/>
            </a:rPr>
            <a:t> </a:t>
          </a:r>
          <a:r>
            <a:rPr lang="el-GR" sz="1000" b="0" i="0" strike="noStrike">
              <a:solidFill>
                <a:srgbClr val="000000"/>
              </a:solidFill>
              <a:latin typeface="Arial"/>
              <a:cs typeface="Arial"/>
            </a:rPr>
            <a:t>και </a:t>
          </a:r>
          <a:r>
            <a:rPr lang="en-US" sz="1000" b="1" i="0" strike="noStrike">
              <a:solidFill>
                <a:srgbClr val="000000"/>
              </a:solidFill>
              <a:latin typeface="Arial"/>
              <a:cs typeface="Arial"/>
            </a:rPr>
            <a:t>D100,</a:t>
          </a:r>
          <a:r>
            <a:rPr lang="en-US" sz="1000" b="0" i="0" strike="noStrike">
              <a:solidFill>
                <a:srgbClr val="000000"/>
              </a:solidFill>
              <a:latin typeface="Arial"/>
              <a:cs typeface="Arial"/>
            </a:rPr>
            <a:t> </a:t>
          </a:r>
          <a:r>
            <a:rPr lang="el-GR" sz="1000" b="0" i="0" strike="noStrike">
              <a:solidFill>
                <a:srgbClr val="000000"/>
              </a:solidFill>
              <a:latin typeface="Arial"/>
              <a:cs typeface="Arial"/>
            </a:rPr>
            <a:t>θα λυθεί αν αφήσεις το δείκτη του ποντι-κιού να σταθεί για λίγο πάνω σε ένα τέτοιο κε-λί...</a:t>
          </a:r>
        </a:p>
      </xdr:txBody>
    </xdr:sp>
    <xdr:clientData/>
  </xdr:twoCellAnchor>
  <xdr:twoCellAnchor>
    <xdr:from>
      <xdr:col>1</xdr:col>
      <xdr:colOff>180975</xdr:colOff>
      <xdr:row>530</xdr:row>
      <xdr:rowOff>142875</xdr:rowOff>
    </xdr:from>
    <xdr:to>
      <xdr:col>8</xdr:col>
      <xdr:colOff>409575</xdr:colOff>
      <xdr:row>543</xdr:row>
      <xdr:rowOff>76200</xdr:rowOff>
    </xdr:to>
    <xdr:grpSp>
      <xdr:nvGrpSpPr>
        <xdr:cNvPr id="1516" name="Group 492"/>
        <xdr:cNvGrpSpPr>
          <a:grpSpLocks/>
        </xdr:cNvGrpSpPr>
      </xdr:nvGrpSpPr>
      <xdr:grpSpPr bwMode="auto">
        <a:xfrm>
          <a:off x="790575" y="94297500"/>
          <a:ext cx="4562475" cy="2162175"/>
          <a:chOff x="83" y="9388"/>
          <a:chExt cx="479" cy="221"/>
        </a:xfrm>
      </xdr:grpSpPr>
      <xdr:grpSp>
        <xdr:nvGrpSpPr>
          <xdr:cNvPr id="1514" name="Group 490"/>
          <xdr:cNvGrpSpPr>
            <a:grpSpLocks/>
          </xdr:cNvGrpSpPr>
        </xdr:nvGrpSpPr>
        <xdr:grpSpPr bwMode="auto">
          <a:xfrm>
            <a:off x="83" y="9388"/>
            <a:ext cx="479" cy="221"/>
            <a:chOff x="83" y="9388"/>
            <a:chExt cx="479" cy="221"/>
          </a:xfrm>
        </xdr:grpSpPr>
        <xdr:sp macro="" textlink="">
          <xdr:nvSpPr>
            <xdr:cNvPr id="1085" name="Line 61"/>
            <xdr:cNvSpPr>
              <a:spLocks noChangeShapeType="1"/>
            </xdr:cNvSpPr>
          </xdr:nvSpPr>
          <xdr:spPr bwMode="auto">
            <a:xfrm>
              <a:off x="128" y="9580"/>
              <a:ext cx="434" cy="0"/>
            </a:xfrm>
            <a:prstGeom prst="line">
              <a:avLst/>
            </a:prstGeom>
            <a:noFill/>
            <a:ln w="19050">
              <a:solidFill>
                <a:srgbClr val="FF0000"/>
              </a:solidFill>
              <a:round/>
              <a:headEnd/>
              <a:tailEnd/>
            </a:ln>
          </xdr:spPr>
        </xdr:sp>
        <xdr:sp macro="" textlink="">
          <xdr:nvSpPr>
            <xdr:cNvPr id="1097" name="Line 73"/>
            <xdr:cNvSpPr>
              <a:spLocks noChangeShapeType="1"/>
            </xdr:cNvSpPr>
          </xdr:nvSpPr>
          <xdr:spPr bwMode="auto">
            <a:xfrm flipV="1">
              <a:off x="366" y="9391"/>
              <a:ext cx="0" cy="187"/>
            </a:xfrm>
            <a:prstGeom prst="line">
              <a:avLst/>
            </a:prstGeom>
            <a:noFill/>
            <a:ln w="9525">
              <a:solidFill>
                <a:srgbClr val="FFFFFF"/>
              </a:solidFill>
              <a:prstDash val="sysDot"/>
              <a:round/>
              <a:headEnd/>
              <a:tailEnd/>
            </a:ln>
          </xdr:spPr>
        </xdr:sp>
        <xdr:sp macro="" textlink="">
          <xdr:nvSpPr>
            <xdr:cNvPr id="1084" name="Line 60"/>
            <xdr:cNvSpPr>
              <a:spLocks noChangeShapeType="1"/>
            </xdr:cNvSpPr>
          </xdr:nvSpPr>
          <xdr:spPr bwMode="auto">
            <a:xfrm>
              <a:off x="128" y="9389"/>
              <a:ext cx="0" cy="190"/>
            </a:xfrm>
            <a:prstGeom prst="line">
              <a:avLst/>
            </a:prstGeom>
            <a:noFill/>
            <a:ln w="19050">
              <a:solidFill>
                <a:srgbClr val="FF0000"/>
              </a:solidFill>
              <a:round/>
              <a:headEnd/>
              <a:tailEnd/>
            </a:ln>
          </xdr:spPr>
        </xdr:sp>
        <xdr:sp macro="" textlink="">
          <xdr:nvSpPr>
            <xdr:cNvPr id="1086" name="Line 62"/>
            <xdr:cNvSpPr>
              <a:spLocks noChangeShapeType="1"/>
            </xdr:cNvSpPr>
          </xdr:nvSpPr>
          <xdr:spPr bwMode="auto">
            <a:xfrm>
              <a:off x="130" y="9527"/>
              <a:ext cx="428" cy="0"/>
            </a:xfrm>
            <a:prstGeom prst="line">
              <a:avLst/>
            </a:prstGeom>
            <a:noFill/>
            <a:ln w="9525">
              <a:solidFill>
                <a:srgbClr val="FFFFFF"/>
              </a:solidFill>
              <a:prstDash val="sysDot"/>
              <a:round/>
              <a:headEnd/>
              <a:tailEnd/>
            </a:ln>
          </xdr:spPr>
        </xdr:sp>
        <xdr:sp macro="" textlink="">
          <xdr:nvSpPr>
            <xdr:cNvPr id="1087" name="Line 63"/>
            <xdr:cNvSpPr>
              <a:spLocks noChangeShapeType="1"/>
            </xdr:cNvSpPr>
          </xdr:nvSpPr>
          <xdr:spPr bwMode="auto">
            <a:xfrm>
              <a:off x="130" y="9475"/>
              <a:ext cx="340" cy="0"/>
            </a:xfrm>
            <a:prstGeom prst="line">
              <a:avLst/>
            </a:prstGeom>
            <a:noFill/>
            <a:ln w="9525">
              <a:solidFill>
                <a:srgbClr val="FFFFFF"/>
              </a:solidFill>
              <a:prstDash val="sysDot"/>
              <a:round/>
              <a:headEnd/>
              <a:tailEnd/>
            </a:ln>
          </xdr:spPr>
        </xdr:sp>
        <xdr:sp macro="" textlink="">
          <xdr:nvSpPr>
            <xdr:cNvPr id="1088" name="Line 64"/>
            <xdr:cNvSpPr>
              <a:spLocks noChangeShapeType="1"/>
            </xdr:cNvSpPr>
          </xdr:nvSpPr>
          <xdr:spPr bwMode="auto">
            <a:xfrm>
              <a:off x="130" y="9406"/>
              <a:ext cx="295" cy="0"/>
            </a:xfrm>
            <a:prstGeom prst="line">
              <a:avLst/>
            </a:prstGeom>
            <a:noFill/>
            <a:ln w="9525">
              <a:solidFill>
                <a:srgbClr val="FFFFFF"/>
              </a:solidFill>
              <a:prstDash val="sysDot"/>
              <a:round/>
              <a:headEnd/>
              <a:tailEnd/>
            </a:ln>
          </xdr:spPr>
        </xdr:sp>
        <xdr:sp macro="" textlink="">
          <xdr:nvSpPr>
            <xdr:cNvPr id="1089" name="Line 65"/>
            <xdr:cNvSpPr>
              <a:spLocks noChangeShapeType="1"/>
            </xdr:cNvSpPr>
          </xdr:nvSpPr>
          <xdr:spPr bwMode="auto">
            <a:xfrm flipV="1">
              <a:off x="293" y="9388"/>
              <a:ext cx="0" cy="191"/>
            </a:xfrm>
            <a:prstGeom prst="line">
              <a:avLst/>
            </a:prstGeom>
            <a:noFill/>
            <a:ln w="9525">
              <a:solidFill>
                <a:srgbClr val="FFFFFF"/>
              </a:solidFill>
              <a:prstDash val="sysDot"/>
              <a:round/>
              <a:headEnd/>
              <a:tailEnd/>
            </a:ln>
          </xdr:spPr>
        </xdr:sp>
        <xdr:sp macro="" textlink="">
          <xdr:nvSpPr>
            <xdr:cNvPr id="1102" name="Line 78"/>
            <xdr:cNvSpPr>
              <a:spLocks noChangeShapeType="1"/>
            </xdr:cNvSpPr>
          </xdr:nvSpPr>
          <xdr:spPr bwMode="auto">
            <a:xfrm>
              <a:off x="130" y="9441"/>
              <a:ext cx="427" cy="0"/>
            </a:xfrm>
            <a:prstGeom prst="line">
              <a:avLst/>
            </a:prstGeom>
            <a:noFill/>
            <a:ln w="9525">
              <a:solidFill>
                <a:srgbClr val="FFFFFF"/>
              </a:solidFill>
              <a:prstDash val="sysDot"/>
              <a:round/>
              <a:headEnd/>
              <a:tailEnd/>
            </a:ln>
          </xdr:spPr>
        </xdr:sp>
        <xdr:sp macro="" textlink="">
          <xdr:nvSpPr>
            <xdr:cNvPr id="1116" name="Line 92"/>
            <xdr:cNvSpPr>
              <a:spLocks noChangeShapeType="1"/>
            </xdr:cNvSpPr>
          </xdr:nvSpPr>
          <xdr:spPr bwMode="auto">
            <a:xfrm flipV="1">
              <a:off x="83" y="9444"/>
              <a:ext cx="0" cy="44"/>
            </a:xfrm>
            <a:prstGeom prst="line">
              <a:avLst/>
            </a:prstGeom>
            <a:noFill/>
            <a:ln w="9525">
              <a:solidFill>
                <a:srgbClr val="FF0000"/>
              </a:solidFill>
              <a:round/>
              <a:headEnd/>
              <a:tailEnd type="triangle" w="med" len="med"/>
            </a:ln>
          </xdr:spPr>
        </xdr:sp>
        <xdr:sp macro="" textlink="">
          <xdr:nvSpPr>
            <xdr:cNvPr id="1117" name="Line 93"/>
            <xdr:cNvSpPr>
              <a:spLocks noChangeShapeType="1"/>
            </xdr:cNvSpPr>
          </xdr:nvSpPr>
          <xdr:spPr bwMode="auto">
            <a:xfrm>
              <a:off x="448" y="9414"/>
              <a:ext cx="0" cy="164"/>
            </a:xfrm>
            <a:prstGeom prst="line">
              <a:avLst/>
            </a:prstGeom>
            <a:noFill/>
            <a:ln w="9525">
              <a:solidFill>
                <a:srgbClr val="FFFFFF"/>
              </a:solidFill>
              <a:prstDash val="sysDot"/>
              <a:round/>
              <a:headEnd/>
              <a:tailEnd/>
            </a:ln>
          </xdr:spPr>
        </xdr:sp>
        <xdr:sp macro="" textlink="">
          <xdr:nvSpPr>
            <xdr:cNvPr id="1118" name="Line 94"/>
            <xdr:cNvSpPr>
              <a:spLocks noChangeShapeType="1"/>
            </xdr:cNvSpPr>
          </xdr:nvSpPr>
          <xdr:spPr bwMode="auto">
            <a:xfrm>
              <a:off x="349" y="9609"/>
              <a:ext cx="57" cy="0"/>
            </a:xfrm>
            <a:prstGeom prst="line">
              <a:avLst/>
            </a:prstGeom>
            <a:noFill/>
            <a:ln w="9525">
              <a:solidFill>
                <a:srgbClr val="FF0000"/>
              </a:solidFill>
              <a:round/>
              <a:headEnd/>
              <a:tailEnd type="triangle" w="med" len="med"/>
            </a:ln>
          </xdr:spPr>
        </xdr:sp>
      </xdr:grpSp>
      <xdr:grpSp>
        <xdr:nvGrpSpPr>
          <xdr:cNvPr id="1513" name="Group 489"/>
          <xdr:cNvGrpSpPr>
            <a:grpSpLocks/>
          </xdr:cNvGrpSpPr>
        </xdr:nvGrpSpPr>
        <xdr:grpSpPr bwMode="auto">
          <a:xfrm>
            <a:off x="129" y="9475"/>
            <a:ext cx="430" cy="52"/>
            <a:chOff x="129" y="9475"/>
            <a:chExt cx="430" cy="52"/>
          </a:xfrm>
        </xdr:grpSpPr>
        <xdr:sp macro="" textlink="">
          <xdr:nvSpPr>
            <xdr:cNvPr id="1096" name="Arc 72"/>
            <xdr:cNvSpPr>
              <a:spLocks/>
            </xdr:cNvSpPr>
          </xdr:nvSpPr>
          <xdr:spPr bwMode="auto">
            <a:xfrm flipH="1" flipV="1">
              <a:off x="129" y="9475"/>
              <a:ext cx="165" cy="52"/>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12700">
              <a:solidFill>
                <a:srgbClr val="FFFF00"/>
              </a:solidFill>
              <a:round/>
              <a:headEnd/>
              <a:tailEnd/>
            </a:ln>
          </xdr:spPr>
        </xdr:sp>
        <xdr:sp macro="" textlink="">
          <xdr:nvSpPr>
            <xdr:cNvPr id="1099" name="Line 75"/>
            <xdr:cNvSpPr>
              <a:spLocks noChangeShapeType="1"/>
            </xdr:cNvSpPr>
          </xdr:nvSpPr>
          <xdr:spPr bwMode="auto">
            <a:xfrm>
              <a:off x="293" y="9527"/>
              <a:ext cx="73" cy="0"/>
            </a:xfrm>
            <a:prstGeom prst="line">
              <a:avLst/>
            </a:prstGeom>
            <a:noFill/>
            <a:ln w="12700">
              <a:solidFill>
                <a:srgbClr val="FFFF00"/>
              </a:solidFill>
              <a:round/>
              <a:headEnd/>
              <a:tailEnd/>
            </a:ln>
          </xdr:spPr>
        </xdr:sp>
        <xdr:grpSp>
          <xdr:nvGrpSpPr>
            <xdr:cNvPr id="1512" name="Group 488"/>
            <xdr:cNvGrpSpPr>
              <a:grpSpLocks/>
            </xdr:cNvGrpSpPr>
          </xdr:nvGrpSpPr>
          <xdr:grpSpPr bwMode="auto">
            <a:xfrm>
              <a:off x="376" y="9510"/>
              <a:ext cx="183" cy="13"/>
              <a:chOff x="376" y="9510"/>
              <a:chExt cx="183" cy="13"/>
            </a:xfrm>
          </xdr:grpSpPr>
          <xdr:sp macro="" textlink="">
            <xdr:nvSpPr>
              <xdr:cNvPr id="1108" name="Arc 84"/>
              <xdr:cNvSpPr>
                <a:spLocks/>
              </xdr:cNvSpPr>
            </xdr:nvSpPr>
            <xdr:spPr bwMode="auto">
              <a:xfrm flipH="1">
                <a:off x="376" y="9510"/>
                <a:ext cx="79" cy="13"/>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12700">
                <a:solidFill>
                  <a:srgbClr val="FFFF00"/>
                </a:solidFill>
                <a:round/>
                <a:headEnd/>
                <a:tailEnd/>
              </a:ln>
            </xdr:spPr>
          </xdr:sp>
          <xdr:sp macro="" textlink="">
            <xdr:nvSpPr>
              <xdr:cNvPr id="1109" name="Line 85"/>
              <xdr:cNvSpPr>
                <a:spLocks noChangeShapeType="1"/>
              </xdr:cNvSpPr>
            </xdr:nvSpPr>
            <xdr:spPr bwMode="auto">
              <a:xfrm>
                <a:off x="455" y="9510"/>
                <a:ext cx="104" cy="0"/>
              </a:xfrm>
              <a:prstGeom prst="line">
                <a:avLst/>
              </a:prstGeom>
              <a:noFill/>
              <a:ln w="12700">
                <a:solidFill>
                  <a:srgbClr val="FFFF00"/>
                </a:solidFill>
                <a:round/>
                <a:headEnd/>
                <a:tailEnd/>
              </a:ln>
            </xdr:spPr>
          </xdr:sp>
        </xdr:grpSp>
      </xdr:grpSp>
      <xdr:grpSp>
        <xdr:nvGrpSpPr>
          <xdr:cNvPr id="1180" name="Group 156"/>
          <xdr:cNvGrpSpPr>
            <a:grpSpLocks/>
          </xdr:cNvGrpSpPr>
        </xdr:nvGrpSpPr>
        <xdr:grpSpPr bwMode="auto">
          <a:xfrm>
            <a:off x="129" y="9405"/>
            <a:ext cx="430" cy="174"/>
            <a:chOff x="129" y="9133"/>
            <a:chExt cx="430" cy="171"/>
          </a:xfrm>
        </xdr:grpSpPr>
        <xdr:sp macro="" textlink="">
          <xdr:nvSpPr>
            <xdr:cNvPr id="1093" name="Arc 69"/>
            <xdr:cNvSpPr>
              <a:spLocks/>
            </xdr:cNvSpPr>
          </xdr:nvSpPr>
          <xdr:spPr bwMode="auto">
            <a:xfrm flipH="1">
              <a:off x="129" y="9202"/>
              <a:ext cx="164" cy="102"/>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12700">
              <a:solidFill>
                <a:srgbClr val="00FF00"/>
              </a:solidFill>
              <a:round/>
              <a:headEnd/>
              <a:tailEnd/>
            </a:ln>
          </xdr:spPr>
        </xdr:sp>
        <xdr:sp macro="" textlink="">
          <xdr:nvSpPr>
            <xdr:cNvPr id="1098" name="Line 74"/>
            <xdr:cNvSpPr>
              <a:spLocks noChangeShapeType="1"/>
            </xdr:cNvSpPr>
          </xdr:nvSpPr>
          <xdr:spPr bwMode="auto">
            <a:xfrm>
              <a:off x="293" y="9202"/>
              <a:ext cx="73" cy="0"/>
            </a:xfrm>
            <a:prstGeom prst="line">
              <a:avLst/>
            </a:prstGeom>
            <a:noFill/>
            <a:ln w="12700">
              <a:solidFill>
                <a:srgbClr val="00FF00"/>
              </a:solidFill>
              <a:round/>
              <a:headEnd/>
              <a:tailEnd/>
            </a:ln>
          </xdr:spPr>
        </xdr:sp>
        <xdr:sp macro="" textlink="">
          <xdr:nvSpPr>
            <xdr:cNvPr id="1100" name="Line 76"/>
            <xdr:cNvSpPr>
              <a:spLocks noChangeShapeType="1"/>
            </xdr:cNvSpPr>
          </xdr:nvSpPr>
          <xdr:spPr bwMode="auto">
            <a:xfrm flipV="1">
              <a:off x="366" y="9133"/>
              <a:ext cx="9" cy="69"/>
            </a:xfrm>
            <a:prstGeom prst="line">
              <a:avLst/>
            </a:prstGeom>
            <a:noFill/>
            <a:ln w="12700">
              <a:solidFill>
                <a:srgbClr val="00FF00"/>
              </a:solidFill>
              <a:round/>
              <a:headEnd/>
              <a:tailEnd/>
            </a:ln>
          </xdr:spPr>
        </xdr:sp>
        <xdr:sp macro="" textlink="">
          <xdr:nvSpPr>
            <xdr:cNvPr id="1103" name="Arc 79"/>
            <xdr:cNvSpPr>
              <a:spLocks/>
            </xdr:cNvSpPr>
          </xdr:nvSpPr>
          <xdr:spPr bwMode="auto">
            <a:xfrm flipH="1" flipV="1">
              <a:off x="375" y="9134"/>
              <a:ext cx="79" cy="34"/>
            </a:xfrm>
            <a:custGeom>
              <a:avLst/>
              <a:gdLst>
                <a:gd name="G0" fmla="+- 0 0 0"/>
                <a:gd name="G1" fmla="+- 21600 0 0"/>
                <a:gd name="G2" fmla="+- 21600 0 0"/>
                <a:gd name="T0" fmla="*/ 0 w 21600"/>
                <a:gd name="T1" fmla="*/ 0 h 21600"/>
                <a:gd name="T2" fmla="*/ 21600 w 21600"/>
                <a:gd name="T3" fmla="*/ 21600 h 21600"/>
                <a:gd name="T4" fmla="*/ 0 w 21600"/>
                <a:gd name="T5" fmla="*/ 21600 h 21600"/>
              </a:gdLst>
              <a:ahLst/>
              <a:cxnLst>
                <a:cxn ang="0">
                  <a:pos x="T0" y="T1"/>
                </a:cxn>
                <a:cxn ang="0">
                  <a:pos x="T2" y="T3"/>
                </a:cxn>
                <a:cxn ang="0">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close/>
                </a:path>
              </a:pathLst>
            </a:custGeom>
            <a:noFill/>
            <a:ln w="12700">
              <a:solidFill>
                <a:srgbClr val="00FF00"/>
              </a:solidFill>
              <a:round/>
              <a:headEnd/>
              <a:tailEnd/>
            </a:ln>
          </xdr:spPr>
        </xdr:sp>
        <xdr:sp macro="" textlink="">
          <xdr:nvSpPr>
            <xdr:cNvPr id="1105" name="Line 81"/>
            <xdr:cNvSpPr>
              <a:spLocks noChangeShapeType="1"/>
            </xdr:cNvSpPr>
          </xdr:nvSpPr>
          <xdr:spPr bwMode="auto">
            <a:xfrm>
              <a:off x="454" y="9168"/>
              <a:ext cx="105" cy="0"/>
            </a:xfrm>
            <a:prstGeom prst="line">
              <a:avLst/>
            </a:prstGeom>
            <a:noFill/>
            <a:ln w="12700">
              <a:solidFill>
                <a:srgbClr val="00FF00"/>
              </a:solidFill>
              <a:round/>
              <a:headEnd/>
              <a:tailEnd/>
            </a:ln>
          </xdr:spPr>
        </xdr:sp>
      </xdr:grpSp>
    </xdr:grpSp>
    <xdr:clientData/>
  </xdr:twoCellAnchor>
  <xdr:twoCellAnchor>
    <xdr:from>
      <xdr:col>13</xdr:col>
      <xdr:colOff>590550</xdr:colOff>
      <xdr:row>227</xdr:row>
      <xdr:rowOff>200026</xdr:rowOff>
    </xdr:from>
    <xdr:to>
      <xdr:col>15</xdr:col>
      <xdr:colOff>581024</xdr:colOff>
      <xdr:row>230</xdr:row>
      <xdr:rowOff>19051</xdr:rowOff>
    </xdr:to>
    <xdr:sp macro="" textlink="">
      <xdr:nvSpPr>
        <xdr:cNvPr id="180" name="179 - TextBox"/>
        <xdr:cNvSpPr txBox="1"/>
      </xdr:nvSpPr>
      <xdr:spPr>
        <a:xfrm>
          <a:off x="8734425" y="38795326"/>
          <a:ext cx="609599" cy="28575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r>
            <a:rPr lang="en-US" sz="1600">
              <a:solidFill>
                <a:srgbClr val="FFFF00"/>
              </a:solidFill>
              <a:latin typeface="Wingdings 2" pitchFamily="18" charset="2"/>
              <a:cs typeface="Arial" pitchFamily="34" charset="0"/>
            </a:rPr>
            <a:t>Þ</a:t>
          </a:r>
          <a:r>
            <a:rPr lang="en-US" sz="1600">
              <a:solidFill>
                <a:srgbClr val="FFFF00"/>
              </a:solidFill>
              <a:latin typeface="Wingdings 2" pitchFamily="18" charset="2"/>
              <a:ea typeface="+mn-ea"/>
              <a:cs typeface="+mn-cs"/>
            </a:rPr>
            <a:t>Þ</a:t>
          </a:r>
          <a:endParaRPr lang="el-GR" sz="1600">
            <a:solidFill>
              <a:srgbClr val="FFFF00"/>
            </a:solidFill>
            <a:latin typeface="+mn-lt"/>
            <a:ea typeface="+mn-ea"/>
            <a:cs typeface="+mn-cs"/>
          </a:endParaRPr>
        </a:p>
        <a:p>
          <a:pPr algn="r"/>
          <a:endParaRPr lang="el-GR" sz="1600">
            <a:solidFill>
              <a:srgbClr val="FFFF00"/>
            </a:solidFill>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3</xdr:col>
          <xdr:colOff>19050</xdr:colOff>
          <xdr:row>302</xdr:row>
          <xdr:rowOff>0</xdr:rowOff>
        </xdr:from>
        <xdr:to>
          <xdr:col>7</xdr:col>
          <xdr:colOff>476250</xdr:colOff>
          <xdr:row>306</xdr:row>
          <xdr:rowOff>19050</xdr:rowOff>
        </xdr:to>
        <xdr:sp macro="" textlink="">
          <xdr:nvSpPr>
            <xdr:cNvPr id="1060" name="Object 36" hidden="1">
              <a:extLst>
                <a:ext uri="{63B3BB69-23CF-44E3-9099-C40C66FF867C}">
                  <a14:compatExt spid="_x0000_s1060"/>
                </a:ext>
              </a:extLst>
            </xdr:cNvPr>
            <xdr:cNvSpPr/>
          </xdr:nvSpPr>
          <xdr:spPr bwMode="auto">
            <a:xfrm>
              <a:off x="0" y="0"/>
              <a:ext cx="0" cy="0"/>
            </a:xfrm>
            <a:prstGeom prst="rect">
              <a:avLst/>
            </a:prstGeom>
            <a:solidFill>
              <a:srgbClr val="FFFFFF" mc:Ignorable="a14" a14:legacySpreadsheetColorIndex="65"/>
            </a:solidFill>
            <a:ln w="9525">
              <a:solidFill>
                <a:srgbClr val="FFFF99" mc:Ignorable="a14" a14:legacySpreadsheetColorIndex="43"/>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267</xdr:row>
          <xdr:rowOff>66675</xdr:rowOff>
        </xdr:from>
        <xdr:to>
          <xdr:col>8</xdr:col>
          <xdr:colOff>95250</xdr:colOff>
          <xdr:row>275</xdr:row>
          <xdr:rowOff>66675</xdr:rowOff>
        </xdr:to>
        <xdr:sp macro="" textlink="">
          <xdr:nvSpPr>
            <xdr:cNvPr id="1067" name="Object 43" hidden="1">
              <a:extLst>
                <a:ext uri="{63B3BB69-23CF-44E3-9099-C40C66FF867C}">
                  <a14:compatExt spid="_x0000_s1067"/>
                </a:ext>
              </a:extLst>
            </xdr:cNvPr>
            <xdr:cNvSpPr/>
          </xdr:nvSpPr>
          <xdr:spPr bwMode="auto">
            <a:xfrm>
              <a:off x="0" y="0"/>
              <a:ext cx="0" cy="0"/>
            </a:xfrm>
            <a:prstGeom prst="rect">
              <a:avLst/>
            </a:prstGeom>
            <a:solidFill>
              <a:srgbClr val="FFFFFF" mc:Ignorable="a14" a14:legacySpreadsheetColorIndex="65"/>
            </a:solidFill>
            <a:ln w="3175">
              <a:solidFill>
                <a:srgbClr val="FFFF99" mc:Ignorable="a14" a14:legacySpreadsheetColorIndex="43"/>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200025</xdr:colOff>
          <xdr:row>198</xdr:row>
          <xdr:rowOff>133350</xdr:rowOff>
        </xdr:from>
        <xdr:to>
          <xdr:col>21</xdr:col>
          <xdr:colOff>190500</xdr:colOff>
          <xdr:row>203</xdr:row>
          <xdr:rowOff>57150</xdr:rowOff>
        </xdr:to>
        <xdr:sp macro="" textlink="">
          <xdr:nvSpPr>
            <xdr:cNvPr id="1414" name="Object 390" hidden="1">
              <a:extLst>
                <a:ext uri="{63B3BB69-23CF-44E3-9099-C40C66FF867C}">
                  <a14:compatExt spid="_x0000_s1414"/>
                </a:ext>
              </a:extLst>
            </xdr:cNvPr>
            <xdr:cNvSpPr/>
          </xdr:nvSpPr>
          <xdr:spPr bwMode="auto">
            <a:xfrm>
              <a:off x="0" y="0"/>
              <a:ext cx="0" cy="0"/>
            </a:xfrm>
            <a:prstGeom prst="rect">
              <a:avLst/>
            </a:prstGeom>
            <a:solidFill>
              <a:srgbClr val="FF6600" mc:Ignorable="a14" a14:legacySpreadsheetColorIndex="5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400050</xdr:colOff>
          <xdr:row>218</xdr:row>
          <xdr:rowOff>104775</xdr:rowOff>
        </xdr:from>
        <xdr:to>
          <xdr:col>22</xdr:col>
          <xdr:colOff>209550</xdr:colOff>
          <xdr:row>222</xdr:row>
          <xdr:rowOff>180975</xdr:rowOff>
        </xdr:to>
        <xdr:sp macro="" textlink="">
          <xdr:nvSpPr>
            <xdr:cNvPr id="1416" name="Object 392" hidden="1">
              <a:extLst>
                <a:ext uri="{63B3BB69-23CF-44E3-9099-C40C66FF867C}">
                  <a14:compatExt spid="_x0000_s1416"/>
                </a:ext>
              </a:extLst>
            </xdr:cNvPr>
            <xdr:cNvSpPr/>
          </xdr:nvSpPr>
          <xdr:spPr bwMode="auto">
            <a:xfrm>
              <a:off x="0" y="0"/>
              <a:ext cx="0" cy="0"/>
            </a:xfrm>
            <a:prstGeom prst="rect">
              <a:avLst/>
            </a:prstGeom>
            <a:solidFill>
              <a:srgbClr val="FF6600" mc:Ignorable="a14" a14:legacySpreadsheetColorIndex="5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409575</xdr:colOff>
          <xdr:row>233</xdr:row>
          <xdr:rowOff>95250</xdr:rowOff>
        </xdr:from>
        <xdr:to>
          <xdr:col>21</xdr:col>
          <xdr:colOff>209550</xdr:colOff>
          <xdr:row>237</xdr:row>
          <xdr:rowOff>152400</xdr:rowOff>
        </xdr:to>
        <xdr:sp macro="" textlink="">
          <xdr:nvSpPr>
            <xdr:cNvPr id="1422" name="Object 398" hidden="1">
              <a:extLst>
                <a:ext uri="{63B3BB69-23CF-44E3-9099-C40C66FF867C}">
                  <a14:compatExt spid="_x0000_s1422"/>
                </a:ext>
              </a:extLst>
            </xdr:cNvPr>
            <xdr:cNvSpPr/>
          </xdr:nvSpPr>
          <xdr:spPr bwMode="auto">
            <a:xfrm>
              <a:off x="0" y="0"/>
              <a:ext cx="0" cy="0"/>
            </a:xfrm>
            <a:prstGeom prst="rect">
              <a:avLst/>
            </a:prstGeom>
            <a:solidFill>
              <a:srgbClr val="FF6600" mc:Ignorable="a14" a14:legacySpreadsheetColorIndex="53"/>
            </a:solidFill>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133350</xdr:colOff>
          <xdr:row>243</xdr:row>
          <xdr:rowOff>57150</xdr:rowOff>
        </xdr:from>
        <xdr:to>
          <xdr:col>20</xdr:col>
          <xdr:colOff>457200</xdr:colOff>
          <xdr:row>245</xdr:row>
          <xdr:rowOff>85725</xdr:rowOff>
        </xdr:to>
        <xdr:sp macro="" textlink="">
          <xdr:nvSpPr>
            <xdr:cNvPr id="1423" name="Object 399" hidden="1">
              <a:extLst>
                <a:ext uri="{63B3BB69-23CF-44E3-9099-C40C66FF867C}">
                  <a14:compatExt spid="_x0000_s1423"/>
                </a:ext>
              </a:extLst>
            </xdr:cNvPr>
            <xdr:cNvSpPr/>
          </xdr:nvSpPr>
          <xdr:spPr bwMode="auto">
            <a:xfrm>
              <a:off x="0" y="0"/>
              <a:ext cx="0" cy="0"/>
            </a:xfrm>
            <a:prstGeom prst="rect">
              <a:avLst/>
            </a:prstGeom>
            <a:solidFill>
              <a:srgbClr val="3366FF" mc:Ignorable="a14" a14:legacySpreadsheetColorIndex="48"/>
            </a:solidFill>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333375</xdr:colOff>
          <xdr:row>92</xdr:row>
          <xdr:rowOff>9525</xdr:rowOff>
        </xdr:from>
        <xdr:to>
          <xdr:col>10</xdr:col>
          <xdr:colOff>247650</xdr:colOff>
          <xdr:row>97</xdr:row>
          <xdr:rowOff>95250</xdr:rowOff>
        </xdr:to>
        <xdr:sp macro="" textlink="">
          <xdr:nvSpPr>
            <xdr:cNvPr id="1510" name="Object 486" hidden="1">
              <a:extLst>
                <a:ext uri="{63B3BB69-23CF-44E3-9099-C40C66FF867C}">
                  <a14:compatExt spid="_x0000_s151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57150</xdr:colOff>
          <xdr:row>448</xdr:row>
          <xdr:rowOff>95250</xdr:rowOff>
        </xdr:from>
        <xdr:to>
          <xdr:col>13</xdr:col>
          <xdr:colOff>95250</xdr:colOff>
          <xdr:row>453</xdr:row>
          <xdr:rowOff>104775</xdr:rowOff>
        </xdr:to>
        <xdr:sp macro="" textlink="">
          <xdr:nvSpPr>
            <xdr:cNvPr id="1508" name="Object 484" hidden="1">
              <a:extLst>
                <a:ext uri="{63B3BB69-23CF-44E3-9099-C40C66FF867C}">
                  <a14:compatExt spid="_x0000_s150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18" Type="http://schemas.openxmlformats.org/officeDocument/2006/relationships/oleObject" Target="../embeddings/oleObject8.bin"/><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oleObject" Target="../embeddings/oleObject7.bin"/><Relationship Id="rId20"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4.bin"/><Relationship Id="rId19" Type="http://schemas.openxmlformats.org/officeDocument/2006/relationships/image" Target="../media/image8.emf"/><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46"/>
  <sheetViews>
    <sheetView tabSelected="1" workbookViewId="0">
      <selection sqref="A1:I2"/>
    </sheetView>
  </sheetViews>
  <sheetFormatPr defaultColWidth="9.140625" defaultRowHeight="13.9" customHeight="1" x14ac:dyDescent="0.2"/>
  <cols>
    <col min="1" max="3" width="9.140625" style="4"/>
    <col min="4" max="4" width="10.140625" style="4" customWidth="1"/>
    <col min="5" max="9" width="9.140625" style="4"/>
    <col min="10" max="10" width="9.7109375" style="4" bestFit="1" customWidth="1"/>
    <col min="11" max="11" width="12.7109375" style="4" bestFit="1" customWidth="1"/>
    <col min="12" max="13" width="9.140625" style="4"/>
    <col min="14" max="14" width="9.28515625" style="4" customWidth="1"/>
    <col min="15" max="15" width="9.140625" style="4" hidden="1" customWidth="1"/>
    <col min="16" max="16384" width="9.140625" style="4"/>
  </cols>
  <sheetData>
    <row r="1" spans="1:26" ht="13.9" customHeight="1" x14ac:dyDescent="0.2">
      <c r="A1" s="342" t="s">
        <v>257</v>
      </c>
      <c r="B1" s="342"/>
      <c r="C1" s="342"/>
      <c r="D1" s="342"/>
      <c r="E1" s="342"/>
      <c r="F1" s="342"/>
      <c r="G1" s="342"/>
      <c r="H1" s="342"/>
      <c r="I1" s="342"/>
      <c r="J1" s="28"/>
      <c r="K1" s="28"/>
      <c r="L1" s="29"/>
      <c r="Z1" s="30"/>
    </row>
    <row r="2" spans="1:26" ht="13.9" customHeight="1" x14ac:dyDescent="0.2">
      <c r="A2" s="342"/>
      <c r="B2" s="342"/>
      <c r="C2" s="342"/>
      <c r="D2" s="342"/>
      <c r="E2" s="342"/>
      <c r="F2" s="342"/>
      <c r="G2" s="342"/>
      <c r="H2" s="342"/>
      <c r="I2" s="342"/>
      <c r="J2" s="28"/>
      <c r="K2" s="28"/>
      <c r="L2" s="29"/>
      <c r="Z2" s="30"/>
    </row>
    <row r="3" spans="1:26" ht="13.9" customHeight="1" x14ac:dyDescent="0.2">
      <c r="A3" s="31"/>
      <c r="B3" s="31"/>
      <c r="C3" s="31"/>
      <c r="D3" s="31"/>
      <c r="E3" s="31"/>
      <c r="F3" s="31"/>
      <c r="G3" s="503" t="s">
        <v>258</v>
      </c>
      <c r="H3" s="503"/>
      <c r="I3" s="503"/>
      <c r="J3" s="28"/>
      <c r="K3" s="28"/>
      <c r="L3" s="29"/>
      <c r="Z3" s="30"/>
    </row>
    <row r="4" spans="1:26" ht="13.9" customHeight="1" x14ac:dyDescent="0.2">
      <c r="A4" s="7"/>
      <c r="B4" s="7"/>
      <c r="C4" s="7"/>
      <c r="D4" s="7"/>
      <c r="E4" s="7"/>
      <c r="F4" s="7"/>
      <c r="G4" s="7"/>
      <c r="H4" s="7"/>
      <c r="I4" s="7"/>
      <c r="J4" s="32"/>
      <c r="K4" s="28"/>
      <c r="L4" s="29"/>
      <c r="Z4" s="30"/>
    </row>
    <row r="5" spans="1:26" ht="13.9" customHeight="1" x14ac:dyDescent="0.2">
      <c r="A5" s="7"/>
      <c r="B5" s="245" t="s">
        <v>522</v>
      </c>
      <c r="C5" s="245"/>
      <c r="D5" s="245"/>
      <c r="E5" s="245"/>
      <c r="F5" s="245"/>
      <c r="G5" s="245"/>
      <c r="H5" s="245"/>
      <c r="I5" s="245"/>
      <c r="J5" s="32"/>
      <c r="K5" s="28"/>
      <c r="L5" s="29"/>
      <c r="Z5" s="30"/>
    </row>
    <row r="6" spans="1:26" ht="13.9" customHeight="1" x14ac:dyDescent="0.2">
      <c r="A6" s="7"/>
      <c r="B6" s="245"/>
      <c r="C6" s="245"/>
      <c r="D6" s="245"/>
      <c r="E6" s="245"/>
      <c r="F6" s="245"/>
      <c r="G6" s="245"/>
      <c r="H6" s="245"/>
      <c r="I6" s="245"/>
      <c r="J6" s="32"/>
      <c r="K6" s="28"/>
      <c r="L6" s="29"/>
      <c r="Z6" s="30"/>
    </row>
    <row r="7" spans="1:26" ht="13.9" customHeight="1" x14ac:dyDescent="0.2">
      <c r="A7" s="7"/>
      <c r="B7" s="245"/>
      <c r="C7" s="245"/>
      <c r="D7" s="245"/>
      <c r="E7" s="245"/>
      <c r="F7" s="245"/>
      <c r="G7" s="245"/>
      <c r="H7" s="245"/>
      <c r="I7" s="245"/>
      <c r="J7" s="32"/>
      <c r="K7" s="28"/>
      <c r="L7" s="29"/>
      <c r="Z7" s="30"/>
    </row>
    <row r="8" spans="1:26" ht="13.9" customHeight="1" x14ac:dyDescent="0.2">
      <c r="A8" s="7"/>
      <c r="B8" s="245"/>
      <c r="C8" s="245"/>
      <c r="D8" s="245"/>
      <c r="E8" s="245"/>
      <c r="F8" s="245"/>
      <c r="G8" s="245"/>
      <c r="H8" s="245"/>
      <c r="I8" s="245"/>
      <c r="J8" s="32"/>
      <c r="K8" s="28"/>
      <c r="L8" s="29"/>
      <c r="Z8" s="30"/>
    </row>
    <row r="9" spans="1:26" ht="13.9" customHeight="1" x14ac:dyDescent="0.2">
      <c r="A9" s="7"/>
      <c r="B9" s="245"/>
      <c r="C9" s="245"/>
      <c r="D9" s="245"/>
      <c r="E9" s="245"/>
      <c r="F9" s="245"/>
      <c r="G9" s="245"/>
      <c r="H9" s="245"/>
      <c r="I9" s="245"/>
      <c r="J9" s="32"/>
      <c r="K9" s="28"/>
      <c r="L9" s="29"/>
      <c r="Z9" s="30"/>
    </row>
    <row r="10" spans="1:26" ht="13.9" customHeight="1" x14ac:dyDescent="0.2">
      <c r="A10" s="7"/>
      <c r="B10" s="245"/>
      <c r="C10" s="245"/>
      <c r="D10" s="245"/>
      <c r="E10" s="245"/>
      <c r="F10" s="245"/>
      <c r="G10" s="245"/>
      <c r="H10" s="245"/>
      <c r="I10" s="245"/>
      <c r="J10" s="32"/>
      <c r="K10" s="28"/>
      <c r="L10" s="29"/>
      <c r="Z10" s="30"/>
    </row>
    <row r="11" spans="1:26" ht="13.9" customHeight="1" x14ac:dyDescent="0.2">
      <c r="A11" s="7"/>
      <c r="B11" s="245"/>
      <c r="C11" s="245"/>
      <c r="D11" s="245"/>
      <c r="E11" s="245"/>
      <c r="F11" s="245"/>
      <c r="G11" s="245"/>
      <c r="H11" s="245"/>
      <c r="I11" s="245"/>
      <c r="J11" s="32"/>
      <c r="K11" s="28"/>
      <c r="L11" s="29"/>
      <c r="Z11" s="30"/>
    </row>
    <row r="12" spans="1:26" ht="13.9" customHeight="1" x14ac:dyDescent="0.2">
      <c r="A12" s="7"/>
      <c r="B12" s="245"/>
      <c r="C12" s="245"/>
      <c r="D12" s="245"/>
      <c r="E12" s="245"/>
      <c r="F12" s="245"/>
      <c r="G12" s="245"/>
      <c r="H12" s="245"/>
      <c r="I12" s="245"/>
      <c r="J12" s="32"/>
      <c r="K12" s="28"/>
      <c r="L12" s="29"/>
      <c r="Z12" s="30"/>
    </row>
    <row r="13" spans="1:26" ht="13.9" customHeight="1" x14ac:dyDescent="0.2">
      <c r="A13" s="7"/>
      <c r="B13" s="245"/>
      <c r="C13" s="245"/>
      <c r="D13" s="245"/>
      <c r="E13" s="245"/>
      <c r="F13" s="245"/>
      <c r="G13" s="245"/>
      <c r="H13" s="245"/>
      <c r="I13" s="245"/>
      <c r="J13" s="32"/>
      <c r="K13" s="28"/>
      <c r="L13" s="29"/>
      <c r="Z13" s="30"/>
    </row>
    <row r="14" spans="1:26" ht="13.9" customHeight="1" x14ac:dyDescent="0.2">
      <c r="A14" s="7"/>
      <c r="B14" s="245"/>
      <c r="C14" s="245"/>
      <c r="D14" s="245"/>
      <c r="E14" s="245"/>
      <c r="F14" s="245"/>
      <c r="G14" s="245"/>
      <c r="H14" s="245"/>
      <c r="I14" s="245"/>
      <c r="J14" s="32"/>
      <c r="K14" s="28"/>
      <c r="L14" s="29"/>
      <c r="Z14" s="30"/>
    </row>
    <row r="15" spans="1:26" ht="13.9" customHeight="1" x14ac:dyDescent="0.2">
      <c r="A15" s="7"/>
      <c r="B15" s="245"/>
      <c r="C15" s="245"/>
      <c r="D15" s="245"/>
      <c r="E15" s="245"/>
      <c r="F15" s="245"/>
      <c r="G15" s="245"/>
      <c r="H15" s="245"/>
      <c r="I15" s="245"/>
      <c r="J15" s="32"/>
      <c r="K15" s="28"/>
      <c r="L15" s="29"/>
      <c r="P15" s="273" t="s">
        <v>44</v>
      </c>
      <c r="Q15" s="273"/>
      <c r="R15" s="273"/>
      <c r="S15" s="273"/>
      <c r="T15" s="273"/>
      <c r="Z15" s="30"/>
    </row>
    <row r="16" spans="1:26" ht="13.9" customHeight="1" x14ac:dyDescent="0.2">
      <c r="A16" s="7"/>
      <c r="B16" s="7"/>
      <c r="C16" s="7"/>
      <c r="D16" s="7"/>
      <c r="E16" s="7"/>
      <c r="F16" s="7"/>
      <c r="G16" s="7"/>
      <c r="H16" s="7"/>
      <c r="I16" s="7"/>
      <c r="J16" s="32"/>
      <c r="K16" s="28"/>
      <c r="L16" s="29"/>
      <c r="P16" s="273"/>
      <c r="Q16" s="273"/>
      <c r="R16" s="273"/>
      <c r="S16" s="273"/>
      <c r="T16" s="273"/>
      <c r="Z16" s="30"/>
    </row>
    <row r="17" spans="1:26" ht="13.9" customHeight="1" x14ac:dyDescent="0.2">
      <c r="A17" s="33" t="s">
        <v>338</v>
      </c>
      <c r="B17" s="245" t="s">
        <v>339</v>
      </c>
      <c r="C17" s="245"/>
      <c r="D17" s="245"/>
      <c r="E17" s="245"/>
      <c r="F17" s="245"/>
      <c r="G17" s="245"/>
      <c r="H17" s="245"/>
      <c r="I17" s="246"/>
      <c r="J17" s="32"/>
      <c r="K17" s="28"/>
      <c r="L17" s="29"/>
      <c r="O17" s="442" t="s">
        <v>348</v>
      </c>
      <c r="P17" s="235" t="s">
        <v>43</v>
      </c>
      <c r="Q17" s="235"/>
      <c r="R17" s="235"/>
      <c r="S17" s="235"/>
      <c r="T17" s="235"/>
      <c r="U17" s="235"/>
      <c r="V17" s="235"/>
      <c r="W17" s="235"/>
      <c r="X17" s="235"/>
      <c r="Z17" s="30"/>
    </row>
    <row r="18" spans="1:26" ht="13.9" customHeight="1" x14ac:dyDescent="0.2">
      <c r="B18" s="245"/>
      <c r="C18" s="245"/>
      <c r="D18" s="245"/>
      <c r="E18" s="245"/>
      <c r="F18" s="245"/>
      <c r="G18" s="245"/>
      <c r="H18" s="245"/>
      <c r="I18" s="246"/>
      <c r="J18" s="32"/>
      <c r="K18" s="28"/>
      <c r="L18" s="29"/>
      <c r="O18" s="442"/>
      <c r="P18" s="235"/>
      <c r="Q18" s="235"/>
      <c r="R18" s="235"/>
      <c r="S18" s="235"/>
      <c r="T18" s="235"/>
      <c r="U18" s="235"/>
      <c r="V18" s="235"/>
      <c r="W18" s="235"/>
      <c r="X18" s="235"/>
      <c r="Z18" s="30"/>
    </row>
    <row r="19" spans="1:26" ht="13.9" customHeight="1" x14ac:dyDescent="0.2">
      <c r="I19" s="7"/>
      <c r="J19" s="32"/>
      <c r="K19" s="28"/>
      <c r="L19" s="29"/>
      <c r="P19" s="235"/>
      <c r="Q19" s="235"/>
      <c r="R19" s="235"/>
      <c r="S19" s="235"/>
      <c r="T19" s="235"/>
      <c r="U19" s="235"/>
      <c r="V19" s="235"/>
      <c r="W19" s="235"/>
      <c r="X19" s="235"/>
      <c r="Z19" s="30"/>
    </row>
    <row r="20" spans="1:26" ht="16.149999999999999" customHeight="1" x14ac:dyDescent="0.3">
      <c r="D20" s="449" t="s">
        <v>33</v>
      </c>
      <c r="E20" s="450"/>
      <c r="F20" s="450"/>
      <c r="G20" s="451"/>
      <c r="I20" s="7"/>
      <c r="J20" s="32"/>
      <c r="K20" s="28"/>
      <c r="L20" s="29"/>
      <c r="P20" s="235"/>
      <c r="Q20" s="235"/>
      <c r="R20" s="235"/>
      <c r="S20" s="235"/>
      <c r="T20" s="235"/>
      <c r="U20" s="235"/>
      <c r="V20" s="235"/>
      <c r="W20" s="235"/>
      <c r="X20" s="235"/>
      <c r="Z20" s="30"/>
    </row>
    <row r="21" spans="1:26" ht="13.9" customHeight="1" x14ac:dyDescent="0.2">
      <c r="I21" s="7"/>
      <c r="J21" s="32"/>
      <c r="K21" s="28"/>
      <c r="L21" s="29"/>
      <c r="P21" s="274" t="s">
        <v>11</v>
      </c>
      <c r="Q21" s="275" t="s">
        <v>202</v>
      </c>
      <c r="R21" s="266" t="s">
        <v>12</v>
      </c>
      <c r="S21" s="277"/>
      <c r="T21" s="276" t="s">
        <v>13</v>
      </c>
      <c r="Z21" s="30"/>
    </row>
    <row r="22" spans="1:26" ht="19.899999999999999" customHeight="1" x14ac:dyDescent="0.2">
      <c r="B22" s="245" t="s">
        <v>34</v>
      </c>
      <c r="C22" s="245"/>
      <c r="D22" s="245"/>
      <c r="E22" s="245"/>
      <c r="F22" s="245"/>
      <c r="G22" s="245"/>
      <c r="H22" s="245"/>
      <c r="I22" s="246"/>
      <c r="J22" s="32"/>
      <c r="K22" s="28"/>
      <c r="L22" s="29"/>
      <c r="P22" s="274"/>
      <c r="Q22" s="275"/>
      <c r="R22" s="266"/>
      <c r="S22" s="277"/>
      <c r="T22" s="274"/>
      <c r="Z22" s="30"/>
    </row>
    <row r="23" spans="1:26" ht="19.899999999999999" customHeight="1" x14ac:dyDescent="0.2">
      <c r="B23" s="245"/>
      <c r="C23" s="245"/>
      <c r="D23" s="245"/>
      <c r="E23" s="245"/>
      <c r="F23" s="245"/>
      <c r="G23" s="245"/>
      <c r="H23" s="245"/>
      <c r="I23" s="246"/>
      <c r="J23" s="32"/>
      <c r="K23" s="28"/>
      <c r="L23" s="29"/>
      <c r="P23" s="235" t="s">
        <v>45</v>
      </c>
      <c r="Q23" s="235"/>
      <c r="R23" s="235"/>
      <c r="S23" s="235"/>
      <c r="T23" s="235"/>
      <c r="U23" s="235"/>
      <c r="V23" s="235"/>
      <c r="W23" s="235"/>
      <c r="X23" s="235"/>
      <c r="Z23" s="30"/>
    </row>
    <row r="24" spans="1:26" ht="15.95" customHeight="1" thickBot="1" x14ac:dyDescent="0.25">
      <c r="I24" s="7"/>
      <c r="J24" s="32"/>
      <c r="K24" s="28"/>
      <c r="L24" s="29"/>
      <c r="O24" s="442" t="s">
        <v>349</v>
      </c>
      <c r="P24" s="235"/>
      <c r="Q24" s="235"/>
      <c r="R24" s="235"/>
      <c r="S24" s="235"/>
      <c r="T24" s="235"/>
      <c r="U24" s="235"/>
      <c r="V24" s="235"/>
      <c r="W24" s="235"/>
      <c r="X24" s="235"/>
      <c r="Z24" s="30"/>
    </row>
    <row r="25" spans="1:26" ht="15.95" customHeight="1" x14ac:dyDescent="0.2">
      <c r="A25" s="12" t="str">
        <f>IF(F25="","",IF(F25="Λ","G","R"))</f>
        <v/>
      </c>
      <c r="B25" s="35" t="s">
        <v>340</v>
      </c>
      <c r="C25" s="344" t="s">
        <v>212</v>
      </c>
      <c r="D25" s="345"/>
      <c r="F25" s="236"/>
      <c r="I25" s="7"/>
      <c r="J25" s="32"/>
      <c r="K25" s="28"/>
      <c r="L25" s="29"/>
      <c r="O25" s="442"/>
      <c r="P25" s="235"/>
      <c r="Q25" s="235"/>
      <c r="R25" s="235"/>
      <c r="S25" s="235"/>
      <c r="T25" s="235"/>
      <c r="U25" s="235"/>
      <c r="V25" s="235"/>
      <c r="W25" s="235"/>
      <c r="X25" s="235"/>
      <c r="Z25" s="30"/>
    </row>
    <row r="26" spans="1:26" ht="15.95" customHeight="1" thickBot="1" x14ac:dyDescent="0.25">
      <c r="C26" s="346"/>
      <c r="D26" s="347"/>
      <c r="F26" s="237"/>
      <c r="I26" s="7"/>
      <c r="J26" s="32"/>
      <c r="K26" s="28"/>
      <c r="L26" s="29"/>
      <c r="P26" s="235"/>
      <c r="Q26" s="235"/>
      <c r="R26" s="235"/>
      <c r="S26" s="235"/>
      <c r="T26" s="235"/>
      <c r="U26" s="235"/>
      <c r="V26" s="235"/>
      <c r="W26" s="235"/>
      <c r="X26" s="235"/>
      <c r="Z26" s="30"/>
    </row>
    <row r="27" spans="1:26" ht="13.9" customHeight="1" thickBot="1" x14ac:dyDescent="0.3">
      <c r="I27" s="7"/>
      <c r="J27" s="32"/>
      <c r="K27" s="28"/>
      <c r="L27" s="29"/>
      <c r="Q27" s="36" t="s">
        <v>14</v>
      </c>
      <c r="R27" s="37" t="s">
        <v>206</v>
      </c>
      <c r="S27" s="36" t="s">
        <v>15</v>
      </c>
      <c r="U27" s="38" t="s">
        <v>16</v>
      </c>
      <c r="Z27" s="30"/>
    </row>
    <row r="28" spans="1:26" ht="13.9" customHeight="1" x14ac:dyDescent="0.2">
      <c r="A28" s="12" t="str">
        <f>IF(F28="","",IF(F28="Σ","G","R"))</f>
        <v/>
      </c>
      <c r="B28" s="35" t="s">
        <v>341</v>
      </c>
      <c r="C28" s="344" t="s">
        <v>213</v>
      </c>
      <c r="D28" s="345"/>
      <c r="F28" s="236"/>
      <c r="I28" s="7"/>
      <c r="J28" s="32"/>
      <c r="K28" s="28"/>
      <c r="L28" s="29"/>
      <c r="P28" s="147" t="s">
        <v>369</v>
      </c>
      <c r="Q28" s="39" t="s">
        <v>208</v>
      </c>
      <c r="R28" s="1"/>
      <c r="S28" s="39" t="s">
        <v>209</v>
      </c>
      <c r="T28" s="1"/>
      <c r="U28" s="1"/>
      <c r="Z28" s="30"/>
    </row>
    <row r="29" spans="1:26" ht="13.9" customHeight="1" thickBot="1" x14ac:dyDescent="0.25">
      <c r="C29" s="346"/>
      <c r="D29" s="347"/>
      <c r="F29" s="237"/>
      <c r="I29" s="7"/>
      <c r="J29" s="32"/>
      <c r="K29" s="28"/>
      <c r="L29" s="29"/>
      <c r="P29" s="147" t="s">
        <v>203</v>
      </c>
      <c r="Q29" s="39" t="s">
        <v>208</v>
      </c>
      <c r="R29" s="1"/>
      <c r="S29" s="39" t="s">
        <v>209</v>
      </c>
      <c r="T29" s="1"/>
      <c r="U29" s="1"/>
      <c r="Z29" s="30"/>
    </row>
    <row r="30" spans="1:26" ht="13.9" customHeight="1" thickBot="1" x14ac:dyDescent="0.25">
      <c r="I30" s="7"/>
      <c r="J30" s="32"/>
      <c r="K30" s="28"/>
      <c r="L30" s="29"/>
      <c r="P30" s="147" t="s">
        <v>204</v>
      </c>
      <c r="Q30" s="1"/>
      <c r="R30" s="1"/>
      <c r="S30" s="1"/>
      <c r="T30" s="1"/>
      <c r="U30" s="39" t="s">
        <v>207</v>
      </c>
      <c r="Z30" s="30"/>
    </row>
    <row r="31" spans="1:26" ht="13.9" customHeight="1" x14ac:dyDescent="0.2">
      <c r="A31" s="12" t="str">
        <f>IF(F31="","",IF(F31="Λ","G","R"))</f>
        <v/>
      </c>
      <c r="B31" s="35" t="s">
        <v>342</v>
      </c>
      <c r="C31" s="344" t="s">
        <v>214</v>
      </c>
      <c r="D31" s="345"/>
      <c r="F31" s="236"/>
      <c r="I31" s="7"/>
      <c r="J31" s="32"/>
      <c r="K31" s="28"/>
      <c r="L31" s="29"/>
      <c r="P31" s="148" t="s">
        <v>205</v>
      </c>
      <c r="Q31" s="1"/>
      <c r="R31" s="1"/>
      <c r="S31" s="1"/>
      <c r="T31" s="1"/>
      <c r="U31" s="148" t="s">
        <v>207</v>
      </c>
      <c r="Z31" s="30"/>
    </row>
    <row r="32" spans="1:26" ht="13.9" customHeight="1" thickBot="1" x14ac:dyDescent="0.25">
      <c r="C32" s="346"/>
      <c r="D32" s="347"/>
      <c r="F32" s="237"/>
      <c r="I32" s="7"/>
      <c r="J32" s="32"/>
      <c r="K32" s="28"/>
      <c r="L32" s="29"/>
      <c r="P32" s="235" t="s">
        <v>46</v>
      </c>
      <c r="Q32" s="235"/>
      <c r="R32" s="235"/>
      <c r="S32" s="235"/>
      <c r="T32" s="235"/>
      <c r="U32" s="235"/>
      <c r="V32" s="235"/>
      <c r="W32" s="235"/>
      <c r="X32" s="235"/>
      <c r="Z32" s="30"/>
    </row>
    <row r="33" spans="1:26" ht="13.9" customHeight="1" thickBot="1" x14ac:dyDescent="0.25">
      <c r="I33" s="7"/>
      <c r="J33" s="32"/>
      <c r="K33" s="28"/>
      <c r="L33" s="29"/>
      <c r="P33" s="235"/>
      <c r="Q33" s="235"/>
      <c r="R33" s="235"/>
      <c r="S33" s="235"/>
      <c r="T33" s="235"/>
      <c r="U33" s="235"/>
      <c r="V33" s="235"/>
      <c r="W33" s="235"/>
      <c r="X33" s="235"/>
      <c r="Z33" s="30"/>
    </row>
    <row r="34" spans="1:26" ht="13.9" customHeight="1" x14ac:dyDescent="0.2">
      <c r="A34" s="12" t="str">
        <f>IF(F34="","",IF(F34="Λ","G","R"))</f>
        <v/>
      </c>
      <c r="B34" s="35" t="s">
        <v>343</v>
      </c>
      <c r="C34" s="344" t="s">
        <v>215</v>
      </c>
      <c r="D34" s="345"/>
      <c r="F34" s="236"/>
      <c r="I34" s="7"/>
      <c r="J34" s="201" t="str">
        <f>IF(OR(A25="",A28="",A31="",A34=""),"",IF(AND(A25="G",A28="G",A31="G",A34="G"),O17,O24))</f>
        <v/>
      </c>
      <c r="K34" s="203" t="str">
        <f>IF(OR(A25="",A28="",A31="",A34=""),"",IF(AND(A25="G",A28="G",A31="G",A34="G"),10,0))</f>
        <v/>
      </c>
      <c r="L34" s="29"/>
      <c r="O34" s="311">
        <v>10</v>
      </c>
      <c r="P34" s="235"/>
      <c r="Q34" s="235"/>
      <c r="R34" s="235"/>
      <c r="S34" s="235"/>
      <c r="T34" s="235"/>
      <c r="U34" s="235"/>
      <c r="V34" s="235"/>
      <c r="W34" s="235"/>
      <c r="X34" s="235"/>
      <c r="Z34" s="30"/>
    </row>
    <row r="35" spans="1:26" ht="13.9" customHeight="1" thickBot="1" x14ac:dyDescent="0.25">
      <c r="C35" s="346"/>
      <c r="D35" s="347"/>
      <c r="F35" s="237"/>
      <c r="I35" s="7"/>
      <c r="J35" s="202"/>
      <c r="K35" s="204"/>
      <c r="L35" s="29"/>
      <c r="O35" s="311"/>
      <c r="P35" s="235"/>
      <c r="Q35" s="235"/>
      <c r="R35" s="235"/>
      <c r="S35" s="235"/>
      <c r="T35" s="235"/>
      <c r="U35" s="235"/>
      <c r="V35" s="235"/>
      <c r="W35" s="235"/>
      <c r="X35" s="235"/>
      <c r="Z35" s="30"/>
    </row>
    <row r="36" spans="1:26" ht="13.9" customHeight="1" x14ac:dyDescent="0.25">
      <c r="I36" s="7"/>
      <c r="J36" s="32"/>
      <c r="K36" s="28"/>
      <c r="L36" s="29"/>
      <c r="Q36" s="36" t="s">
        <v>14</v>
      </c>
      <c r="R36" s="37" t="s">
        <v>206</v>
      </c>
      <c r="S36" s="36" t="s">
        <v>15</v>
      </c>
      <c r="U36" s="38" t="s">
        <v>16</v>
      </c>
      <c r="Z36" s="30"/>
    </row>
    <row r="37" spans="1:26" ht="13.9" customHeight="1" x14ac:dyDescent="0.2">
      <c r="A37" s="40"/>
      <c r="B37" s="40"/>
      <c r="C37" s="40"/>
      <c r="D37" s="40"/>
      <c r="E37" s="40"/>
      <c r="F37" s="40"/>
      <c r="G37" s="40"/>
      <c r="H37" s="40"/>
      <c r="I37" s="40"/>
      <c r="J37" s="28"/>
      <c r="K37" s="28"/>
      <c r="L37" s="29"/>
      <c r="P37" s="149" t="s">
        <v>369</v>
      </c>
      <c r="Q37" s="41" t="s">
        <v>327</v>
      </c>
      <c r="S37" s="41" t="s">
        <v>328</v>
      </c>
      <c r="Z37" s="30"/>
    </row>
    <row r="38" spans="1:26" ht="13.9" customHeight="1" x14ac:dyDescent="0.2">
      <c r="A38" s="7"/>
      <c r="B38" s="42"/>
      <c r="C38" s="42"/>
      <c r="D38" s="42"/>
      <c r="E38" s="42"/>
      <c r="F38" s="42"/>
      <c r="G38" s="7"/>
      <c r="H38" s="7"/>
      <c r="I38" s="7"/>
      <c r="J38" s="32"/>
      <c r="K38" s="28"/>
      <c r="L38" s="29"/>
      <c r="P38" s="149" t="s">
        <v>203</v>
      </c>
      <c r="Q38" s="41" t="s">
        <v>327</v>
      </c>
      <c r="R38" s="1"/>
      <c r="S38" s="41" t="s">
        <v>329</v>
      </c>
      <c r="T38" s="1"/>
      <c r="U38" s="1"/>
      <c r="Z38" s="30"/>
    </row>
    <row r="39" spans="1:26" ht="13.9" customHeight="1" x14ac:dyDescent="0.2">
      <c r="A39" s="33" t="s">
        <v>344</v>
      </c>
      <c r="B39" s="443" t="s">
        <v>345</v>
      </c>
      <c r="C39" s="444"/>
      <c r="D39" s="444"/>
      <c r="E39" s="444"/>
      <c r="F39" s="445"/>
      <c r="G39" s="7"/>
      <c r="H39" s="7"/>
      <c r="I39" s="7"/>
      <c r="J39" s="32"/>
      <c r="K39" s="28"/>
      <c r="L39" s="29"/>
      <c r="P39" s="149" t="s">
        <v>204</v>
      </c>
      <c r="Q39" s="1"/>
      <c r="R39" s="1"/>
      <c r="S39" s="1"/>
      <c r="T39" s="1"/>
      <c r="U39" s="41" t="s">
        <v>330</v>
      </c>
      <c r="Z39" s="30"/>
    </row>
    <row r="40" spans="1:26" ht="13.9" customHeight="1" x14ac:dyDescent="0.2">
      <c r="I40" s="7"/>
      <c r="J40" s="32"/>
      <c r="K40" s="28"/>
      <c r="L40" s="29"/>
      <c r="P40" s="150" t="s">
        <v>205</v>
      </c>
      <c r="S40" s="150" t="s">
        <v>331</v>
      </c>
      <c r="U40" s="150" t="s">
        <v>330</v>
      </c>
      <c r="Z40" s="30"/>
    </row>
    <row r="41" spans="1:26" ht="16.149999999999999" customHeight="1" x14ac:dyDescent="0.3">
      <c r="C41" s="449" t="s">
        <v>3</v>
      </c>
      <c r="D41" s="450"/>
      <c r="E41" s="450"/>
      <c r="F41" s="451"/>
      <c r="I41" s="7"/>
      <c r="J41" s="32"/>
      <c r="K41" s="28"/>
      <c r="L41" s="29"/>
      <c r="P41" s="235" t="s">
        <v>47</v>
      </c>
      <c r="Q41" s="235"/>
      <c r="R41" s="235"/>
      <c r="S41" s="235"/>
      <c r="T41" s="235"/>
      <c r="U41" s="235"/>
      <c r="V41" s="235"/>
      <c r="W41" s="235"/>
      <c r="X41" s="235"/>
      <c r="Z41" s="30"/>
    </row>
    <row r="42" spans="1:26" ht="13.9" customHeight="1" thickBot="1" x14ac:dyDescent="0.25">
      <c r="I42" s="7"/>
      <c r="J42" s="32"/>
      <c r="K42" s="28"/>
      <c r="L42" s="29"/>
      <c r="P42" s="235"/>
      <c r="Q42" s="235"/>
      <c r="R42" s="235"/>
      <c r="S42" s="235"/>
      <c r="T42" s="235"/>
      <c r="U42" s="235"/>
      <c r="V42" s="235"/>
      <c r="W42" s="235"/>
      <c r="X42" s="235"/>
      <c r="Z42" s="30"/>
    </row>
    <row r="43" spans="1:26" ht="13.9" customHeight="1" x14ac:dyDescent="0.2">
      <c r="A43" s="12" t="str">
        <f>IF(F43="","",IF(F43="Σ","G","R"))</f>
        <v/>
      </c>
      <c r="B43" s="35" t="s">
        <v>340</v>
      </c>
      <c r="C43" s="344" t="s">
        <v>216</v>
      </c>
      <c r="D43" s="345"/>
      <c r="F43" s="236"/>
      <c r="I43" s="7"/>
      <c r="J43" s="32"/>
      <c r="K43" s="28"/>
      <c r="L43" s="29"/>
      <c r="P43" s="235"/>
      <c r="Q43" s="235"/>
      <c r="R43" s="235"/>
      <c r="S43" s="235"/>
      <c r="T43" s="235"/>
      <c r="U43" s="235"/>
      <c r="V43" s="235"/>
      <c r="W43" s="235"/>
      <c r="X43" s="235"/>
      <c r="Z43" s="30"/>
    </row>
    <row r="44" spans="1:26" ht="13.9" customHeight="1" thickBot="1" x14ac:dyDescent="0.25">
      <c r="C44" s="346"/>
      <c r="D44" s="347"/>
      <c r="F44" s="237"/>
      <c r="I44" s="7"/>
      <c r="J44" s="32"/>
      <c r="K44" s="28"/>
      <c r="L44" s="29"/>
      <c r="Q44" s="279" t="s">
        <v>17</v>
      </c>
      <c r="R44" s="278" t="s">
        <v>351</v>
      </c>
      <c r="S44" s="279" t="s">
        <v>18</v>
      </c>
      <c r="T44" s="281"/>
      <c r="U44" s="279" t="s">
        <v>19</v>
      </c>
      <c r="V44" s="278" t="s">
        <v>351</v>
      </c>
      <c r="W44" s="279" t="s">
        <v>20</v>
      </c>
      <c r="Z44" s="30"/>
    </row>
    <row r="45" spans="1:26" ht="13.9" customHeight="1" thickBot="1" x14ac:dyDescent="0.25">
      <c r="I45" s="7"/>
      <c r="J45" s="32"/>
      <c r="K45" s="28"/>
      <c r="L45" s="29"/>
      <c r="Q45" s="280"/>
      <c r="R45" s="278"/>
      <c r="S45" s="280"/>
      <c r="T45" s="281"/>
      <c r="U45" s="280"/>
      <c r="V45" s="278"/>
      <c r="W45" s="280"/>
      <c r="Z45" s="30"/>
    </row>
    <row r="46" spans="1:26" ht="13.9" customHeight="1" x14ac:dyDescent="0.2">
      <c r="A46" s="12" t="str">
        <f>IF(F46="","",IF(F46="Λ","G","R"))</f>
        <v/>
      </c>
      <c r="B46" s="35" t="s">
        <v>341</v>
      </c>
      <c r="C46" s="344" t="s">
        <v>215</v>
      </c>
      <c r="D46" s="345"/>
      <c r="F46" s="236"/>
      <c r="I46" s="7"/>
      <c r="J46" s="32"/>
      <c r="K46" s="28"/>
      <c r="L46" s="29"/>
      <c r="P46" s="235" t="s">
        <v>48</v>
      </c>
      <c r="Q46" s="235"/>
      <c r="R46" s="235"/>
      <c r="S46" s="235"/>
      <c r="T46" s="235"/>
      <c r="U46" s="235"/>
      <c r="V46" s="235"/>
      <c r="W46" s="235"/>
      <c r="X46" s="235"/>
      <c r="Z46" s="30"/>
    </row>
    <row r="47" spans="1:26" ht="13.9" customHeight="1" thickBot="1" x14ac:dyDescent="0.25">
      <c r="C47" s="346"/>
      <c r="D47" s="347"/>
      <c r="F47" s="237"/>
      <c r="I47" s="7"/>
      <c r="J47" s="32"/>
      <c r="K47" s="28"/>
      <c r="L47" s="29"/>
      <c r="P47" s="235"/>
      <c r="Q47" s="235"/>
      <c r="R47" s="235"/>
      <c r="S47" s="235"/>
      <c r="T47" s="235"/>
      <c r="U47" s="235"/>
      <c r="V47" s="235"/>
      <c r="W47" s="235"/>
      <c r="X47" s="235"/>
      <c r="Z47" s="30"/>
    </row>
    <row r="48" spans="1:26" ht="13.9" customHeight="1" thickBot="1" x14ac:dyDescent="0.25">
      <c r="I48" s="7"/>
      <c r="J48" s="32"/>
      <c r="K48" s="28"/>
      <c r="L48" s="29"/>
      <c r="P48" s="235"/>
      <c r="Q48" s="235"/>
      <c r="R48" s="235"/>
      <c r="S48" s="235"/>
      <c r="T48" s="235"/>
      <c r="U48" s="235"/>
      <c r="V48" s="235"/>
      <c r="W48" s="235"/>
      <c r="X48" s="235"/>
      <c r="Z48" s="30"/>
    </row>
    <row r="49" spans="1:26" ht="13.9" customHeight="1" x14ac:dyDescent="0.2">
      <c r="A49" s="12" t="str">
        <f>IF(F49="","",IF(F49="Λ","G","R"))</f>
        <v/>
      </c>
      <c r="B49" s="35" t="s">
        <v>342</v>
      </c>
      <c r="C49" s="344" t="s">
        <v>217</v>
      </c>
      <c r="D49" s="345"/>
      <c r="F49" s="236"/>
      <c r="I49" s="43"/>
      <c r="J49" s="201" t="str">
        <f>IF(OR(A43="",A46="",A49=""),"",IF(AND(A43="G",A46="G",A49="G"),O17,O24))</f>
        <v/>
      </c>
      <c r="K49" s="203" t="str">
        <f>IF(OR(A43="",A46="",A49=""),"",IF(AND(A43="G",A46="G",A49="G"),10,0))</f>
        <v/>
      </c>
      <c r="L49" s="29"/>
      <c r="O49" s="311">
        <v>10</v>
      </c>
      <c r="P49" s="235"/>
      <c r="Q49" s="235"/>
      <c r="R49" s="235"/>
      <c r="S49" s="235"/>
      <c r="T49" s="235"/>
      <c r="U49" s="235"/>
      <c r="V49" s="235"/>
      <c r="W49" s="235"/>
      <c r="X49" s="235"/>
      <c r="Z49" s="30"/>
    </row>
    <row r="50" spans="1:26" ht="13.9" customHeight="1" thickBot="1" x14ac:dyDescent="0.25">
      <c r="C50" s="346"/>
      <c r="D50" s="347"/>
      <c r="F50" s="237"/>
      <c r="I50" s="43"/>
      <c r="J50" s="202"/>
      <c r="K50" s="204"/>
      <c r="L50" s="29"/>
      <c r="O50" s="311"/>
      <c r="Q50" s="235" t="s">
        <v>21</v>
      </c>
      <c r="R50" s="235"/>
      <c r="S50" s="235"/>
      <c r="T50" s="235"/>
      <c r="U50" s="235"/>
      <c r="V50" s="235"/>
      <c r="W50" s="235"/>
      <c r="X50" s="235"/>
      <c r="Z50" s="30"/>
    </row>
    <row r="51" spans="1:26" ht="13.9" customHeight="1" x14ac:dyDescent="0.2">
      <c r="I51" s="7"/>
      <c r="J51" s="32"/>
      <c r="K51" s="28"/>
      <c r="L51" s="29"/>
      <c r="Q51" s="235"/>
      <c r="R51" s="235"/>
      <c r="S51" s="235"/>
      <c r="T51" s="235"/>
      <c r="U51" s="235"/>
      <c r="V51" s="235"/>
      <c r="W51" s="235"/>
      <c r="X51" s="235"/>
      <c r="Z51" s="30"/>
    </row>
    <row r="52" spans="1:26" ht="13.9" customHeight="1" x14ac:dyDescent="0.2">
      <c r="A52" s="40"/>
      <c r="B52" s="40"/>
      <c r="C52" s="40"/>
      <c r="D52" s="40"/>
      <c r="E52" s="40"/>
      <c r="F52" s="40"/>
      <c r="G52" s="40"/>
      <c r="H52" s="40"/>
      <c r="I52" s="40"/>
      <c r="J52" s="28"/>
      <c r="K52" s="28"/>
      <c r="L52" s="29"/>
      <c r="Q52" s="235"/>
      <c r="R52" s="235"/>
      <c r="S52" s="235"/>
      <c r="T52" s="235"/>
      <c r="U52" s="235"/>
      <c r="V52" s="235"/>
      <c r="W52" s="235"/>
      <c r="X52" s="235"/>
      <c r="Z52" s="30"/>
    </row>
    <row r="53" spans="1:26" ht="13.9" customHeight="1" x14ac:dyDescent="0.2">
      <c r="A53" s="7"/>
      <c r="B53" s="42"/>
      <c r="C53" s="42"/>
      <c r="D53" s="42"/>
      <c r="E53" s="42"/>
      <c r="F53" s="42"/>
      <c r="G53" s="7"/>
      <c r="H53" s="7"/>
      <c r="I53" s="7"/>
      <c r="J53" s="32"/>
      <c r="K53" s="28"/>
      <c r="L53" s="29"/>
      <c r="Q53" s="235"/>
      <c r="R53" s="235"/>
      <c r="S53" s="235"/>
      <c r="T53" s="235"/>
      <c r="U53" s="235"/>
      <c r="V53" s="235"/>
      <c r="W53" s="235"/>
      <c r="X53" s="235"/>
      <c r="Z53" s="30"/>
    </row>
    <row r="54" spans="1:26" ht="13.9" customHeight="1" x14ac:dyDescent="0.2">
      <c r="A54" s="33" t="s">
        <v>346</v>
      </c>
      <c r="B54" s="443" t="s">
        <v>345</v>
      </c>
      <c r="C54" s="444"/>
      <c r="D54" s="444"/>
      <c r="E54" s="444"/>
      <c r="F54" s="445"/>
      <c r="G54" s="7"/>
      <c r="H54" s="7"/>
      <c r="I54" s="7"/>
      <c r="J54" s="32"/>
      <c r="K54" s="28"/>
      <c r="L54" s="29"/>
      <c r="Q54" s="235" t="s">
        <v>22</v>
      </c>
      <c r="R54" s="235"/>
      <c r="S54" s="235"/>
      <c r="T54" s="235"/>
      <c r="U54" s="235"/>
      <c r="V54" s="235"/>
      <c r="W54" s="235"/>
      <c r="X54" s="235"/>
      <c r="Z54" s="30"/>
    </row>
    <row r="55" spans="1:26" ht="13.9" customHeight="1" x14ac:dyDescent="0.2">
      <c r="I55" s="7"/>
      <c r="J55" s="32"/>
      <c r="K55" s="28"/>
      <c r="L55" s="29"/>
      <c r="Q55" s="235"/>
      <c r="R55" s="235"/>
      <c r="S55" s="235"/>
      <c r="T55" s="235"/>
      <c r="U55" s="235"/>
      <c r="V55" s="235"/>
      <c r="W55" s="235"/>
      <c r="X55" s="235"/>
      <c r="Z55" s="30"/>
    </row>
    <row r="56" spans="1:26" ht="16.149999999999999" customHeight="1" x14ac:dyDescent="0.3">
      <c r="C56" s="449" t="s">
        <v>4</v>
      </c>
      <c r="D56" s="450"/>
      <c r="E56" s="450"/>
      <c r="F56" s="451"/>
      <c r="I56" s="7"/>
      <c r="J56" s="32"/>
      <c r="K56" s="28"/>
      <c r="L56" s="29"/>
      <c r="Q56" s="235"/>
      <c r="R56" s="235"/>
      <c r="S56" s="235"/>
      <c r="T56" s="235"/>
      <c r="U56" s="235"/>
      <c r="V56" s="235"/>
      <c r="W56" s="235"/>
      <c r="X56" s="235"/>
      <c r="Z56" s="30"/>
    </row>
    <row r="57" spans="1:26" ht="13.9" customHeight="1" thickBot="1" x14ac:dyDescent="0.25">
      <c r="I57" s="7"/>
      <c r="J57" s="32"/>
      <c r="K57" s="28"/>
      <c r="L57" s="29"/>
      <c r="Q57" s="235" t="s">
        <v>210</v>
      </c>
      <c r="R57" s="235"/>
      <c r="S57" s="235"/>
      <c r="T57" s="235"/>
      <c r="U57" s="235"/>
      <c r="V57" s="235"/>
      <c r="W57" s="235"/>
      <c r="X57" s="235"/>
      <c r="Z57" s="30"/>
    </row>
    <row r="58" spans="1:26" ht="13.9" customHeight="1" x14ac:dyDescent="0.2">
      <c r="A58" s="12" t="str">
        <f>IF(F58="","",IF(F58="Λ","G","R"))</f>
        <v/>
      </c>
      <c r="B58" s="35" t="s">
        <v>340</v>
      </c>
      <c r="C58" s="344" t="s">
        <v>218</v>
      </c>
      <c r="D58" s="345"/>
      <c r="F58" s="236"/>
      <c r="I58" s="7"/>
      <c r="J58" s="32"/>
      <c r="K58" s="28"/>
      <c r="L58" s="29"/>
      <c r="Q58" s="235"/>
      <c r="R58" s="235"/>
      <c r="S58" s="235"/>
      <c r="T58" s="235"/>
      <c r="U58" s="235"/>
      <c r="V58" s="235"/>
      <c r="W58" s="235"/>
      <c r="X58" s="235"/>
      <c r="Z58" s="30"/>
    </row>
    <row r="59" spans="1:26" ht="13.9" customHeight="1" thickBot="1" x14ac:dyDescent="0.25">
      <c r="C59" s="346"/>
      <c r="D59" s="347"/>
      <c r="F59" s="237"/>
      <c r="I59" s="7"/>
      <c r="J59" s="32"/>
      <c r="K59" s="28"/>
      <c r="L59" s="29"/>
      <c r="Q59" s="235" t="s">
        <v>23</v>
      </c>
      <c r="R59" s="235"/>
      <c r="S59" s="235"/>
      <c r="T59" s="235"/>
      <c r="U59" s="235"/>
      <c r="V59" s="235"/>
      <c r="W59" s="235"/>
      <c r="X59" s="235"/>
      <c r="Z59" s="30"/>
    </row>
    <row r="60" spans="1:26" ht="13.9" customHeight="1" thickBot="1" x14ac:dyDescent="0.25">
      <c r="I60" s="7"/>
      <c r="J60" s="32"/>
      <c r="K60" s="28"/>
      <c r="L60" s="29"/>
      <c r="Q60" s="235"/>
      <c r="R60" s="235"/>
      <c r="S60" s="235"/>
      <c r="T60" s="235"/>
      <c r="U60" s="235"/>
      <c r="V60" s="235"/>
      <c r="W60" s="235"/>
      <c r="X60" s="235"/>
      <c r="Z60" s="30"/>
    </row>
    <row r="61" spans="1:26" ht="13.9" customHeight="1" x14ac:dyDescent="0.2">
      <c r="A61" s="12" t="str">
        <f>IF(F61="","",IF(F61="Λ","G","R"))</f>
        <v/>
      </c>
      <c r="B61" s="35" t="s">
        <v>341</v>
      </c>
      <c r="C61" s="344" t="s">
        <v>219</v>
      </c>
      <c r="D61" s="345"/>
      <c r="F61" s="236"/>
      <c r="I61" s="7"/>
      <c r="J61" s="32"/>
      <c r="K61" s="28"/>
      <c r="L61" s="29"/>
      <c r="Q61" s="235"/>
      <c r="R61" s="235"/>
      <c r="S61" s="235"/>
      <c r="T61" s="235"/>
      <c r="U61" s="235"/>
      <c r="V61" s="235"/>
      <c r="W61" s="235"/>
      <c r="X61" s="235"/>
      <c r="Z61" s="30"/>
    </row>
    <row r="62" spans="1:26" ht="13.9" customHeight="1" thickBot="1" x14ac:dyDescent="0.25">
      <c r="C62" s="346"/>
      <c r="D62" s="347"/>
      <c r="F62" s="237"/>
      <c r="I62" s="7"/>
      <c r="J62" s="32"/>
      <c r="K62" s="28"/>
      <c r="L62" s="29"/>
      <c r="Q62" s="235"/>
      <c r="R62" s="235"/>
      <c r="S62" s="235"/>
      <c r="T62" s="235"/>
      <c r="U62" s="235"/>
      <c r="V62" s="235"/>
      <c r="W62" s="235"/>
      <c r="X62" s="235"/>
      <c r="Z62" s="30"/>
    </row>
    <row r="63" spans="1:26" ht="13.9" customHeight="1" thickBot="1" x14ac:dyDescent="0.25">
      <c r="A63" s="1" t="str">
        <f>IF(F63="","",IF(F63="Λ","G","R"))</f>
        <v/>
      </c>
      <c r="I63" s="7"/>
      <c r="J63" s="32"/>
      <c r="K63" s="28"/>
      <c r="L63" s="29"/>
      <c r="Q63" s="235"/>
      <c r="R63" s="235"/>
      <c r="S63" s="235"/>
      <c r="T63" s="235"/>
      <c r="U63" s="235"/>
      <c r="V63" s="235"/>
      <c r="W63" s="235"/>
      <c r="X63" s="235"/>
      <c r="Z63" s="30"/>
    </row>
    <row r="64" spans="1:26" ht="13.9" customHeight="1" x14ac:dyDescent="0.2">
      <c r="A64" s="12" t="str">
        <f>IF(F64="","",IF(F64="Σ","G","R"))</f>
        <v/>
      </c>
      <c r="B64" s="35" t="s">
        <v>342</v>
      </c>
      <c r="C64" s="344" t="s">
        <v>220</v>
      </c>
      <c r="D64" s="345"/>
      <c r="F64" s="236"/>
      <c r="I64" s="7"/>
      <c r="J64" s="32"/>
      <c r="K64" s="28"/>
      <c r="L64" s="29"/>
      <c r="Q64" s="235" t="s">
        <v>24</v>
      </c>
      <c r="R64" s="235"/>
      <c r="S64" s="235"/>
      <c r="T64" s="235"/>
      <c r="U64" s="235"/>
      <c r="V64" s="235"/>
      <c r="W64" s="235"/>
      <c r="X64" s="235"/>
      <c r="Z64" s="30"/>
    </row>
    <row r="65" spans="1:26" ht="13.9" customHeight="1" thickBot="1" x14ac:dyDescent="0.25">
      <c r="C65" s="346"/>
      <c r="D65" s="347"/>
      <c r="F65" s="237"/>
      <c r="I65" s="7"/>
      <c r="J65" s="32"/>
      <c r="K65" s="28"/>
      <c r="L65" s="29"/>
      <c r="Q65" s="235"/>
      <c r="R65" s="235"/>
      <c r="S65" s="235"/>
      <c r="T65" s="235"/>
      <c r="U65" s="235"/>
      <c r="V65" s="235"/>
      <c r="W65" s="235"/>
      <c r="X65" s="235"/>
      <c r="Z65" s="30"/>
    </row>
    <row r="66" spans="1:26" ht="13.9" customHeight="1" thickBot="1" x14ac:dyDescent="0.25">
      <c r="I66" s="7"/>
      <c r="J66" s="32"/>
      <c r="K66" s="28"/>
      <c r="L66" s="29"/>
      <c r="Q66" s="235"/>
      <c r="R66" s="235"/>
      <c r="S66" s="235"/>
      <c r="T66" s="235"/>
      <c r="U66" s="235"/>
      <c r="V66" s="235"/>
      <c r="W66" s="235"/>
      <c r="X66" s="235"/>
      <c r="Z66" s="30"/>
    </row>
    <row r="67" spans="1:26" ht="13.9" customHeight="1" x14ac:dyDescent="0.2">
      <c r="A67" s="12" t="str">
        <f>IF(F67="","",IF(F67="Λ","G","R"))</f>
        <v/>
      </c>
      <c r="B67" s="35" t="s">
        <v>343</v>
      </c>
      <c r="C67" s="344" t="s">
        <v>221</v>
      </c>
      <c r="D67" s="345"/>
      <c r="F67" s="236"/>
      <c r="I67" s="43"/>
      <c r="J67" s="201" t="str">
        <f>IF(OR(A58="",A61="",A64="",A67=""),"",IF(AND(A58="G",A61="G",A64="G",A67="G"),O17,O24))</f>
        <v/>
      </c>
      <c r="K67" s="203" t="str">
        <f>IF(OR(A58="",A61="",A64="",A67=""),"",IF(AND(A58="G",A61="G",A64="G",A67="G"),10,0))</f>
        <v/>
      </c>
      <c r="L67" s="29"/>
      <c r="O67" s="311">
        <v>10</v>
      </c>
      <c r="Q67" s="235" t="s">
        <v>392</v>
      </c>
      <c r="R67" s="235"/>
      <c r="S67" s="235"/>
      <c r="T67" s="235"/>
      <c r="U67" s="235"/>
      <c r="V67" s="235"/>
      <c r="W67" s="235"/>
      <c r="X67" s="235"/>
      <c r="Z67" s="30"/>
    </row>
    <row r="68" spans="1:26" ht="13.9" customHeight="1" thickBot="1" x14ac:dyDescent="0.25">
      <c r="C68" s="346"/>
      <c r="D68" s="347"/>
      <c r="F68" s="237"/>
      <c r="I68" s="43"/>
      <c r="J68" s="202"/>
      <c r="K68" s="204"/>
      <c r="L68" s="29"/>
      <c r="O68" s="311"/>
      <c r="Q68" s="235"/>
      <c r="R68" s="235"/>
      <c r="S68" s="235"/>
      <c r="T68" s="235"/>
      <c r="U68" s="235"/>
      <c r="V68" s="235"/>
      <c r="W68" s="235"/>
      <c r="X68" s="235"/>
      <c r="Z68" s="30"/>
    </row>
    <row r="69" spans="1:26" ht="13.9" customHeight="1" x14ac:dyDescent="0.2">
      <c r="I69" s="7"/>
      <c r="J69" s="32"/>
      <c r="K69" s="28"/>
      <c r="L69" s="29"/>
      <c r="Q69" s="490"/>
      <c r="R69" s="490"/>
      <c r="Z69" s="30"/>
    </row>
    <row r="70" spans="1:26" ht="13.9" customHeight="1" x14ac:dyDescent="0.2">
      <c r="A70" s="40"/>
      <c r="B70" s="40"/>
      <c r="C70" s="40"/>
      <c r="D70" s="40"/>
      <c r="E70" s="40"/>
      <c r="F70" s="40"/>
      <c r="G70" s="40"/>
      <c r="H70" s="40"/>
      <c r="I70" s="40"/>
      <c r="J70" s="28"/>
      <c r="K70" s="28"/>
      <c r="L70" s="29"/>
      <c r="Q70" s="490"/>
      <c r="R70" s="490"/>
      <c r="Z70" s="30"/>
    </row>
    <row r="71" spans="1:26" ht="13.9" customHeight="1" x14ac:dyDescent="0.2">
      <c r="A71" s="7"/>
      <c r="B71" s="42"/>
      <c r="C71" s="42"/>
      <c r="D71" s="42"/>
      <c r="E71" s="42"/>
      <c r="F71" s="42"/>
      <c r="G71" s="7"/>
      <c r="H71" s="7"/>
      <c r="I71" s="7"/>
      <c r="J71" s="32"/>
      <c r="K71" s="28"/>
      <c r="L71" s="29"/>
      <c r="Z71" s="30"/>
    </row>
    <row r="72" spans="1:26" ht="13.9" customHeight="1" x14ac:dyDescent="0.2">
      <c r="A72" s="33" t="s">
        <v>347</v>
      </c>
      <c r="B72" s="443" t="s">
        <v>345</v>
      </c>
      <c r="C72" s="444"/>
      <c r="D72" s="444"/>
      <c r="E72" s="444"/>
      <c r="F72" s="445"/>
      <c r="G72" s="7"/>
      <c r="H72" s="7"/>
      <c r="I72" s="7"/>
      <c r="J72" s="32"/>
      <c r="K72" s="28"/>
      <c r="L72" s="29"/>
      <c r="Z72" s="30"/>
    </row>
    <row r="73" spans="1:26" ht="13.9" customHeight="1" x14ac:dyDescent="0.2">
      <c r="I73" s="7"/>
      <c r="J73" s="32"/>
      <c r="K73" s="28"/>
      <c r="L73" s="29"/>
      <c r="Z73" s="30"/>
    </row>
    <row r="74" spans="1:26" ht="16.149999999999999" customHeight="1" x14ac:dyDescent="0.3">
      <c r="C74" s="446" t="s">
        <v>5</v>
      </c>
      <c r="D74" s="447"/>
      <c r="E74" s="447"/>
      <c r="F74" s="448"/>
      <c r="I74" s="7"/>
      <c r="J74" s="32"/>
      <c r="K74" s="28"/>
      <c r="L74" s="29"/>
      <c r="S74" s="44"/>
      <c r="Z74" s="30"/>
    </row>
    <row r="75" spans="1:26" ht="13.9" customHeight="1" thickBot="1" x14ac:dyDescent="0.25">
      <c r="I75" s="7"/>
      <c r="J75" s="32"/>
      <c r="K75" s="28"/>
      <c r="L75" s="29"/>
      <c r="Z75" s="30"/>
    </row>
    <row r="76" spans="1:26" ht="13.9" customHeight="1" x14ac:dyDescent="0.2">
      <c r="A76" s="12" t="str">
        <f>IF(F76="","",IF(F76="Σ","G","R"))</f>
        <v/>
      </c>
      <c r="B76" s="35" t="s">
        <v>340</v>
      </c>
      <c r="C76" s="344" t="s">
        <v>222</v>
      </c>
      <c r="D76" s="345"/>
      <c r="F76" s="236"/>
      <c r="I76" s="7"/>
      <c r="J76" s="32"/>
      <c r="K76" s="28"/>
      <c r="L76" s="29"/>
      <c r="Z76" s="30"/>
    </row>
    <row r="77" spans="1:26" ht="13.9" customHeight="1" thickBot="1" x14ac:dyDescent="0.25">
      <c r="C77" s="346"/>
      <c r="D77" s="347"/>
      <c r="F77" s="237"/>
      <c r="I77" s="7"/>
      <c r="J77" s="32"/>
      <c r="K77" s="28"/>
      <c r="L77" s="29"/>
      <c r="Z77" s="30"/>
    </row>
    <row r="78" spans="1:26" ht="13.9" customHeight="1" thickBot="1" x14ac:dyDescent="0.25">
      <c r="I78" s="7"/>
      <c r="J78" s="32"/>
      <c r="K78" s="28"/>
      <c r="L78" s="29"/>
      <c r="U78" s="491"/>
      <c r="V78" s="491"/>
      <c r="W78" s="491"/>
      <c r="Z78" s="30"/>
    </row>
    <row r="79" spans="1:26" ht="13.9" customHeight="1" x14ac:dyDescent="0.2">
      <c r="A79" s="12" t="str">
        <f>IF(F79="","",IF(F79="Σ","G","R"))</f>
        <v/>
      </c>
      <c r="B79" s="35" t="s">
        <v>341</v>
      </c>
      <c r="C79" s="344" t="s">
        <v>223</v>
      </c>
      <c r="D79" s="345"/>
      <c r="F79" s="236"/>
      <c r="I79" s="7"/>
      <c r="J79" s="32"/>
      <c r="K79" s="28"/>
      <c r="L79" s="29"/>
      <c r="U79" s="491"/>
      <c r="V79" s="491"/>
      <c r="W79" s="491"/>
      <c r="Z79" s="30"/>
    </row>
    <row r="80" spans="1:26" ht="13.9" customHeight="1" thickBot="1" x14ac:dyDescent="0.25">
      <c r="C80" s="346"/>
      <c r="D80" s="347"/>
      <c r="F80" s="237"/>
      <c r="I80" s="7"/>
      <c r="J80" s="32"/>
      <c r="K80" s="28"/>
      <c r="L80" s="29"/>
      <c r="Z80" s="30"/>
    </row>
    <row r="81" spans="1:26" ht="13.9" customHeight="1" thickBot="1" x14ac:dyDescent="0.25">
      <c r="I81" s="7"/>
      <c r="J81" s="32"/>
      <c r="K81" s="28"/>
      <c r="L81" s="29"/>
      <c r="Q81" s="235" t="s">
        <v>25</v>
      </c>
      <c r="R81" s="235"/>
      <c r="S81" s="235"/>
      <c r="T81" s="235"/>
      <c r="U81" s="235"/>
      <c r="V81" s="235"/>
      <c r="W81" s="235"/>
      <c r="X81" s="235"/>
      <c r="Z81" s="30"/>
    </row>
    <row r="82" spans="1:26" ht="13.9" customHeight="1" x14ac:dyDescent="0.2">
      <c r="A82" s="12" t="str">
        <f>IF(F82="","",IF(F82="Λ","G","R"))</f>
        <v/>
      </c>
      <c r="B82" s="35" t="s">
        <v>342</v>
      </c>
      <c r="C82" s="344" t="s">
        <v>224</v>
      </c>
      <c r="D82" s="345"/>
      <c r="F82" s="236"/>
      <c r="I82" s="43"/>
      <c r="J82" s="201" t="str">
        <f>IF(K82="","",IF(K82=20,O17,O24))</f>
        <v/>
      </c>
      <c r="K82" s="203" t="str">
        <f>IF(OR(A76="",A79="",A82=""),"",SUM(C85:E85))</f>
        <v/>
      </c>
      <c r="L82" s="29"/>
      <c r="O82" s="311">
        <v>20</v>
      </c>
      <c r="Q82" s="235"/>
      <c r="R82" s="235"/>
      <c r="S82" s="235"/>
      <c r="T82" s="235"/>
      <c r="U82" s="235"/>
      <c r="V82" s="235"/>
      <c r="W82" s="235"/>
      <c r="X82" s="235"/>
      <c r="Z82" s="30"/>
    </row>
    <row r="83" spans="1:26" ht="13.9" customHeight="1" thickBot="1" x14ac:dyDescent="0.25">
      <c r="C83" s="346"/>
      <c r="D83" s="347"/>
      <c r="F83" s="237"/>
      <c r="H83" s="4" t="s">
        <v>451</v>
      </c>
      <c r="I83" s="43"/>
      <c r="J83" s="202"/>
      <c r="K83" s="204"/>
      <c r="L83" s="29"/>
      <c r="O83" s="311"/>
      <c r="Q83" s="235"/>
      <c r="R83" s="235"/>
      <c r="S83" s="235"/>
      <c r="T83" s="235"/>
      <c r="U83" s="235"/>
      <c r="V83" s="235"/>
      <c r="W83" s="235"/>
      <c r="X83" s="235"/>
      <c r="Z83" s="30"/>
    </row>
    <row r="84" spans="1:26" ht="13.9" customHeight="1" x14ac:dyDescent="0.2">
      <c r="I84" s="7"/>
      <c r="J84" s="32"/>
      <c r="K84" s="28"/>
      <c r="L84" s="29"/>
      <c r="Q84" s="235"/>
      <c r="R84" s="235"/>
      <c r="S84" s="235"/>
      <c r="T84" s="235"/>
      <c r="U84" s="235"/>
      <c r="V84" s="235"/>
      <c r="W84" s="235"/>
      <c r="X84" s="235"/>
      <c r="Z84" s="30"/>
    </row>
    <row r="85" spans="1:26" ht="13.9" customHeight="1" x14ac:dyDescent="0.2">
      <c r="A85" s="40"/>
      <c r="B85" s="40"/>
      <c r="C85" s="45" t="str">
        <f>IF(A76&lt;&gt;"G","",8)</f>
        <v/>
      </c>
      <c r="D85" s="45" t="str">
        <f>IF(A79&lt;&gt;"G","",8)</f>
        <v/>
      </c>
      <c r="E85" s="45" t="str">
        <f>IF(A82&lt;&gt;"G","",4)</f>
        <v/>
      </c>
      <c r="F85" s="40"/>
      <c r="G85" s="40"/>
      <c r="H85" s="40"/>
      <c r="I85" s="40"/>
      <c r="J85" s="28"/>
      <c r="K85" s="28"/>
      <c r="L85" s="29"/>
      <c r="Q85" s="235" t="s">
        <v>26</v>
      </c>
      <c r="R85" s="235"/>
      <c r="S85" s="235"/>
      <c r="T85" s="235"/>
      <c r="U85" s="235"/>
      <c r="V85" s="235"/>
      <c r="W85" s="235"/>
      <c r="X85" s="235"/>
      <c r="Z85" s="30"/>
    </row>
    <row r="86" spans="1:26" ht="13.9" customHeight="1" x14ac:dyDescent="0.2">
      <c r="A86" s="7"/>
      <c r="B86" s="7"/>
      <c r="C86" s="7"/>
      <c r="D86" s="7"/>
      <c r="E86" s="7"/>
      <c r="F86" s="7"/>
      <c r="G86" s="7"/>
      <c r="H86" s="7"/>
      <c r="I86" s="7"/>
      <c r="J86" s="32"/>
      <c r="K86" s="28"/>
      <c r="L86" s="29"/>
      <c r="Q86" s="235"/>
      <c r="R86" s="235"/>
      <c r="S86" s="235"/>
      <c r="T86" s="235"/>
      <c r="U86" s="235"/>
      <c r="V86" s="235"/>
      <c r="W86" s="235"/>
      <c r="X86" s="235"/>
      <c r="Z86" s="30"/>
    </row>
    <row r="87" spans="1:26" ht="13.9" customHeight="1" x14ac:dyDescent="0.2">
      <c r="A87" s="33" t="s">
        <v>350</v>
      </c>
      <c r="B87" s="245" t="s">
        <v>7</v>
      </c>
      <c r="C87" s="245"/>
      <c r="D87" s="245"/>
      <c r="E87" s="245"/>
      <c r="F87" s="245"/>
      <c r="G87" s="245"/>
      <c r="H87" s="245"/>
      <c r="I87" s="246"/>
      <c r="J87" s="32"/>
      <c r="K87" s="28"/>
      <c r="L87" s="29"/>
      <c r="Q87" s="235"/>
      <c r="R87" s="235"/>
      <c r="S87" s="235"/>
      <c r="T87" s="235"/>
      <c r="U87" s="235"/>
      <c r="V87" s="235"/>
      <c r="W87" s="235"/>
      <c r="X87" s="235"/>
      <c r="Z87" s="30"/>
    </row>
    <row r="88" spans="1:26" ht="13.9" customHeight="1" x14ac:dyDescent="0.2">
      <c r="B88" s="245"/>
      <c r="C88" s="245"/>
      <c r="D88" s="245"/>
      <c r="E88" s="245"/>
      <c r="F88" s="245"/>
      <c r="G88" s="245"/>
      <c r="H88" s="245"/>
      <c r="I88" s="246"/>
      <c r="J88" s="32"/>
      <c r="K88" s="28"/>
      <c r="L88" s="29"/>
      <c r="Z88" s="30"/>
    </row>
    <row r="89" spans="1:26" ht="13.9" customHeight="1" x14ac:dyDescent="0.2">
      <c r="B89" s="245"/>
      <c r="C89" s="245"/>
      <c r="D89" s="245"/>
      <c r="E89" s="245"/>
      <c r="F89" s="245"/>
      <c r="G89" s="245"/>
      <c r="H89" s="245"/>
      <c r="I89" s="246"/>
      <c r="J89" s="32"/>
      <c r="K89" s="28"/>
      <c r="L89" s="29"/>
      <c r="P89" s="235" t="s">
        <v>49</v>
      </c>
      <c r="Q89" s="235"/>
      <c r="R89" s="235"/>
      <c r="S89" s="235"/>
      <c r="T89" s="235"/>
      <c r="U89" s="235"/>
      <c r="V89" s="235"/>
      <c r="W89" s="235"/>
      <c r="X89" s="235"/>
      <c r="Z89" s="30"/>
    </row>
    <row r="90" spans="1:26" ht="13.9" customHeight="1" x14ac:dyDescent="0.2">
      <c r="B90" s="245"/>
      <c r="C90" s="245"/>
      <c r="D90" s="245"/>
      <c r="E90" s="245"/>
      <c r="F90" s="245"/>
      <c r="G90" s="245"/>
      <c r="H90" s="245"/>
      <c r="I90" s="246"/>
      <c r="J90" s="32"/>
      <c r="K90" s="28"/>
      <c r="L90" s="29"/>
      <c r="P90" s="235"/>
      <c r="Q90" s="235"/>
      <c r="R90" s="235"/>
      <c r="S90" s="235"/>
      <c r="T90" s="235"/>
      <c r="U90" s="235"/>
      <c r="V90" s="235"/>
      <c r="W90" s="235"/>
      <c r="X90" s="235"/>
      <c r="Z90" s="30"/>
    </row>
    <row r="91" spans="1:26" ht="13.9" customHeight="1" x14ac:dyDescent="0.2">
      <c r="B91" s="245"/>
      <c r="C91" s="245"/>
      <c r="D91" s="245"/>
      <c r="E91" s="245"/>
      <c r="F91" s="245"/>
      <c r="G91" s="245"/>
      <c r="H91" s="245"/>
      <c r="I91" s="246"/>
      <c r="J91" s="32"/>
      <c r="K91" s="28"/>
      <c r="L91" s="29"/>
      <c r="P91" s="235"/>
      <c r="Q91" s="235"/>
      <c r="R91" s="235"/>
      <c r="S91" s="235"/>
      <c r="T91" s="235"/>
      <c r="U91" s="235"/>
      <c r="V91" s="235"/>
      <c r="W91" s="235"/>
      <c r="X91" s="235"/>
      <c r="Z91" s="30"/>
    </row>
    <row r="92" spans="1:26" ht="13.9" customHeight="1" x14ac:dyDescent="0.2">
      <c r="B92" s="245"/>
      <c r="C92" s="245"/>
      <c r="D92" s="245"/>
      <c r="E92" s="245"/>
      <c r="F92" s="245"/>
      <c r="G92" s="245"/>
      <c r="H92" s="245"/>
      <c r="I92" s="246"/>
      <c r="J92" s="32"/>
      <c r="K92" s="28"/>
      <c r="L92" s="29"/>
      <c r="P92" s="235" t="s">
        <v>507</v>
      </c>
      <c r="Q92" s="235"/>
      <c r="R92" s="235"/>
      <c r="S92" s="235"/>
      <c r="T92" s="235"/>
      <c r="U92" s="235"/>
      <c r="V92" s="235"/>
      <c r="W92" s="235"/>
      <c r="X92" s="235"/>
      <c r="Z92" s="30"/>
    </row>
    <row r="93" spans="1:26" ht="13.9" customHeight="1" x14ac:dyDescent="0.2">
      <c r="I93" s="7"/>
      <c r="J93" s="32"/>
      <c r="K93" s="28"/>
      <c r="L93" s="29"/>
      <c r="P93" s="235"/>
      <c r="Q93" s="235"/>
      <c r="R93" s="235"/>
      <c r="S93" s="235"/>
      <c r="T93" s="235"/>
      <c r="U93" s="235"/>
      <c r="V93" s="235"/>
      <c r="W93" s="235"/>
      <c r="X93" s="235"/>
      <c r="Z93" s="30"/>
    </row>
    <row r="94" spans="1:26" ht="16.149999999999999" customHeight="1" x14ac:dyDescent="0.3">
      <c r="B94" s="35" t="s">
        <v>340</v>
      </c>
      <c r="C94" s="46"/>
      <c r="D94" s="47" t="s">
        <v>225</v>
      </c>
      <c r="E94" s="186" t="s">
        <v>351</v>
      </c>
      <c r="F94" s="187" t="s">
        <v>226</v>
      </c>
      <c r="G94" s="50" t="s">
        <v>352</v>
      </c>
      <c r="H94" s="51" t="s">
        <v>6</v>
      </c>
      <c r="I94" s="52"/>
      <c r="J94" s="32"/>
      <c r="K94" s="28"/>
      <c r="L94" s="29"/>
      <c r="P94" s="235"/>
      <c r="Q94" s="235"/>
      <c r="R94" s="235"/>
      <c r="S94" s="235"/>
      <c r="T94" s="235"/>
      <c r="U94" s="235"/>
      <c r="V94" s="235"/>
      <c r="W94" s="235"/>
      <c r="X94" s="235"/>
      <c r="Z94" s="30"/>
    </row>
    <row r="95" spans="1:26" ht="13.9" customHeight="1" x14ac:dyDescent="0.2">
      <c r="I95" s="7"/>
      <c r="J95" s="32"/>
      <c r="K95" s="28"/>
      <c r="L95" s="29"/>
      <c r="P95" s="235"/>
      <c r="Q95" s="235"/>
      <c r="R95" s="235"/>
      <c r="S95" s="235"/>
      <c r="T95" s="235"/>
      <c r="U95" s="235"/>
      <c r="V95" s="235"/>
      <c r="W95" s="235"/>
      <c r="X95" s="235"/>
      <c r="Z95" s="30"/>
    </row>
    <row r="96" spans="1:26" ht="13.9" customHeight="1" x14ac:dyDescent="0.2">
      <c r="D96" s="53" t="s">
        <v>353</v>
      </c>
      <c r="F96" s="53" t="s">
        <v>354</v>
      </c>
      <c r="I96" s="7"/>
      <c r="J96" s="32"/>
      <c r="K96" s="28"/>
      <c r="L96" s="29"/>
      <c r="P96" s="235"/>
      <c r="Q96" s="235"/>
      <c r="R96" s="235"/>
      <c r="S96" s="235"/>
      <c r="T96" s="235"/>
      <c r="U96" s="235"/>
      <c r="V96" s="235"/>
      <c r="W96" s="235"/>
      <c r="X96" s="235"/>
      <c r="Z96" s="30"/>
    </row>
    <row r="97" spans="1:26" ht="13.9" customHeight="1" x14ac:dyDescent="0.2">
      <c r="I97" s="7"/>
      <c r="J97" s="32"/>
      <c r="K97" s="28"/>
      <c r="L97" s="29"/>
      <c r="P97" s="235"/>
      <c r="Q97" s="235"/>
      <c r="R97" s="235"/>
      <c r="S97" s="235"/>
      <c r="T97" s="235"/>
      <c r="U97" s="235"/>
      <c r="V97" s="235"/>
      <c r="W97" s="235"/>
      <c r="X97" s="235"/>
      <c r="Z97" s="30"/>
    </row>
    <row r="98" spans="1:26" ht="13.9" customHeight="1" thickBot="1" x14ac:dyDescent="0.25">
      <c r="B98" s="12" t="str">
        <f>IF(H98="","",IF(H98="Cl2","G","R"))</f>
        <v/>
      </c>
      <c r="C98" s="343" t="s">
        <v>355</v>
      </c>
      <c r="D98" s="343"/>
      <c r="E98" s="343"/>
      <c r="F98" s="343"/>
      <c r="G98" s="343"/>
      <c r="H98" s="164"/>
      <c r="I98" s="7"/>
      <c r="J98" s="32"/>
      <c r="K98" s="28"/>
      <c r="L98" s="29"/>
      <c r="P98" s="235"/>
      <c r="Q98" s="235"/>
      <c r="R98" s="235"/>
      <c r="S98" s="235"/>
      <c r="T98" s="235"/>
      <c r="U98" s="235"/>
      <c r="V98" s="235"/>
      <c r="W98" s="235"/>
      <c r="X98" s="235"/>
      <c r="Z98" s="30"/>
    </row>
    <row r="99" spans="1:26" ht="13.9" customHeight="1" x14ac:dyDescent="0.2">
      <c r="I99" s="43"/>
      <c r="J99" s="201" t="str">
        <f>IF(K99="","",IF(K99=15,O17,O24))</f>
        <v/>
      </c>
      <c r="K99" s="203" t="str">
        <f>IF(OR(B98="",B100=""),"",SUM(C102:D102))</f>
        <v/>
      </c>
      <c r="L99" s="29"/>
      <c r="O99" s="311">
        <v>15</v>
      </c>
      <c r="P99" s="235"/>
      <c r="Q99" s="235"/>
      <c r="R99" s="235"/>
      <c r="S99" s="235"/>
      <c r="T99" s="235"/>
      <c r="U99" s="235"/>
      <c r="V99" s="235"/>
      <c r="W99" s="235"/>
      <c r="X99" s="235"/>
      <c r="Z99" s="30"/>
    </row>
    <row r="100" spans="1:26" ht="13.9" customHeight="1" thickBot="1" x14ac:dyDescent="0.25">
      <c r="B100" s="12" t="str">
        <f>IF(H100="","",IF(H100="0,6mol","G","R"))</f>
        <v/>
      </c>
      <c r="D100" s="343" t="s">
        <v>8</v>
      </c>
      <c r="E100" s="343"/>
      <c r="F100" s="343"/>
      <c r="G100" s="343"/>
      <c r="H100" s="164"/>
      <c r="I100" s="43"/>
      <c r="J100" s="202"/>
      <c r="K100" s="204"/>
      <c r="L100" s="29"/>
      <c r="O100" s="311"/>
      <c r="P100" s="260" t="s">
        <v>50</v>
      </c>
      <c r="Q100" s="260"/>
      <c r="R100" s="260"/>
      <c r="S100" s="260"/>
      <c r="T100" s="260"/>
      <c r="U100" s="260"/>
      <c r="V100" s="260"/>
      <c r="Z100" s="30"/>
    </row>
    <row r="101" spans="1:26" ht="13.9" customHeight="1" x14ac:dyDescent="0.2">
      <c r="I101" s="7"/>
      <c r="J101" s="32"/>
      <c r="K101" s="28"/>
      <c r="L101" s="29"/>
      <c r="P101" s="54"/>
      <c r="Q101" s="286" t="s">
        <v>27</v>
      </c>
      <c r="R101" s="286"/>
      <c r="S101" s="286"/>
      <c r="T101" s="492"/>
      <c r="Z101" s="30"/>
    </row>
    <row r="102" spans="1:26" ht="13.9" customHeight="1" x14ac:dyDescent="0.2">
      <c r="A102" s="40"/>
      <c r="B102" s="40"/>
      <c r="C102" s="45" t="str">
        <f>IF(B98&lt;&gt;"G","",5)</f>
        <v/>
      </c>
      <c r="D102" s="45" t="str">
        <f>IF(B100&lt;&gt;"G","",10)</f>
        <v/>
      </c>
      <c r="E102" s="40"/>
      <c r="F102" s="40"/>
      <c r="G102" s="40"/>
      <c r="H102" s="40"/>
      <c r="I102" s="40"/>
      <c r="J102" s="28"/>
      <c r="K102" s="28"/>
      <c r="L102" s="29"/>
      <c r="Q102" s="286"/>
      <c r="R102" s="286"/>
      <c r="S102" s="286"/>
      <c r="T102" s="492"/>
      <c r="Z102" s="30"/>
    </row>
    <row r="103" spans="1:26" ht="13.9" customHeight="1" x14ac:dyDescent="0.2">
      <c r="A103" s="7"/>
      <c r="B103" s="42"/>
      <c r="C103" s="7"/>
      <c r="D103" s="7"/>
      <c r="E103" s="7"/>
      <c r="F103" s="7"/>
      <c r="G103" s="7"/>
      <c r="H103" s="7"/>
      <c r="I103" s="7"/>
      <c r="J103" s="32"/>
      <c r="K103" s="28"/>
      <c r="L103" s="29"/>
      <c r="P103" s="235" t="s">
        <v>51</v>
      </c>
      <c r="Q103" s="235"/>
      <c r="R103" s="235"/>
      <c r="S103" s="235"/>
      <c r="T103" s="235"/>
      <c r="U103" s="235"/>
      <c r="V103" s="235"/>
      <c r="W103" s="235"/>
      <c r="X103" s="235"/>
      <c r="Z103" s="30"/>
    </row>
    <row r="104" spans="1:26" ht="16.149999999999999" customHeight="1" x14ac:dyDescent="0.25">
      <c r="A104" s="7"/>
      <c r="B104" s="35" t="s">
        <v>341</v>
      </c>
      <c r="C104" s="46"/>
      <c r="D104" s="55" t="s">
        <v>9</v>
      </c>
      <c r="E104" s="48" t="s">
        <v>351</v>
      </c>
      <c r="F104" s="49" t="s">
        <v>227</v>
      </c>
      <c r="G104" s="50" t="s">
        <v>352</v>
      </c>
      <c r="H104" s="51" t="s">
        <v>10</v>
      </c>
      <c r="I104" s="52"/>
      <c r="J104" s="32"/>
      <c r="K104" s="28"/>
      <c r="L104" s="29"/>
      <c r="P104" s="235"/>
      <c r="Q104" s="235"/>
      <c r="R104" s="235"/>
      <c r="S104" s="235"/>
      <c r="T104" s="235"/>
      <c r="U104" s="235"/>
      <c r="V104" s="235"/>
      <c r="W104" s="235"/>
      <c r="X104" s="235"/>
      <c r="Z104" s="30"/>
    </row>
    <row r="105" spans="1:26" ht="13.9" customHeight="1" x14ac:dyDescent="0.2">
      <c r="I105" s="7"/>
      <c r="J105" s="32"/>
      <c r="K105" s="28"/>
      <c r="L105" s="29"/>
      <c r="P105" s="235"/>
      <c r="Q105" s="235"/>
      <c r="R105" s="235"/>
      <c r="S105" s="235"/>
      <c r="T105" s="235"/>
      <c r="U105" s="235"/>
      <c r="V105" s="235"/>
      <c r="W105" s="235"/>
      <c r="X105" s="235"/>
      <c r="Z105" s="30"/>
    </row>
    <row r="106" spans="1:26" ht="13.9" customHeight="1" x14ac:dyDescent="0.2">
      <c r="D106" s="53" t="s">
        <v>356</v>
      </c>
      <c r="F106" s="53" t="s">
        <v>357</v>
      </c>
      <c r="I106" s="7"/>
      <c r="J106" s="32"/>
      <c r="K106" s="28"/>
      <c r="L106" s="29"/>
      <c r="Q106" s="271" t="s">
        <v>28</v>
      </c>
      <c r="R106" s="271"/>
      <c r="S106" s="271"/>
      <c r="T106" s="271"/>
      <c r="U106" s="271"/>
      <c r="V106" s="271"/>
      <c r="W106" s="271"/>
      <c r="Z106" s="30"/>
    </row>
    <row r="107" spans="1:26" ht="13.9" customHeight="1" x14ac:dyDescent="0.2">
      <c r="I107" s="7"/>
      <c r="J107" s="32"/>
      <c r="K107" s="28"/>
      <c r="L107" s="29"/>
      <c r="Q107" s="271"/>
      <c r="R107" s="271"/>
      <c r="S107" s="271"/>
      <c r="T107" s="271"/>
      <c r="U107" s="271"/>
      <c r="V107" s="271"/>
      <c r="W107" s="271"/>
      <c r="Z107" s="30"/>
    </row>
    <row r="108" spans="1:26" ht="16.149999999999999" customHeight="1" thickBot="1" x14ac:dyDescent="0.25">
      <c r="B108" s="12" t="str">
        <f>IF(H108="","",IF(OR(H108="N2",H108="Ν2"),"G","R"))</f>
        <v/>
      </c>
      <c r="C108" s="343" t="s">
        <v>355</v>
      </c>
      <c r="D108" s="343"/>
      <c r="E108" s="343"/>
      <c r="F108" s="343"/>
      <c r="G108" s="343"/>
      <c r="H108" s="164"/>
      <c r="I108" s="7"/>
      <c r="J108" s="32"/>
      <c r="K108" s="28"/>
      <c r="L108" s="29"/>
      <c r="P108" s="235" t="s">
        <v>52</v>
      </c>
      <c r="Q108" s="235"/>
      <c r="R108" s="235"/>
      <c r="S108" s="235"/>
      <c r="T108" s="235"/>
      <c r="U108" s="235"/>
      <c r="V108" s="235"/>
      <c r="W108" s="235"/>
      <c r="X108" s="235"/>
      <c r="Z108" s="30"/>
    </row>
    <row r="109" spans="1:26" ht="16.149999999999999" customHeight="1" x14ac:dyDescent="0.2">
      <c r="I109" s="43"/>
      <c r="J109" s="201" t="str">
        <f>IF(K109="","",IF(K109=15,O17,O24))</f>
        <v/>
      </c>
      <c r="K109" s="203" t="str">
        <f>IF(OR(B108="",B110=""),"",SUM(C112:D112))</f>
        <v/>
      </c>
      <c r="L109" s="29"/>
      <c r="O109" s="311">
        <v>15</v>
      </c>
      <c r="P109" s="235"/>
      <c r="Q109" s="235"/>
      <c r="R109" s="235"/>
      <c r="S109" s="235"/>
      <c r="T109" s="235"/>
      <c r="U109" s="235"/>
      <c r="V109" s="235"/>
      <c r="W109" s="235"/>
      <c r="X109" s="235"/>
      <c r="Z109" s="30"/>
    </row>
    <row r="110" spans="1:26" ht="13.9" customHeight="1" thickBot="1" x14ac:dyDescent="0.25">
      <c r="B110" s="12" t="str">
        <f>IF(H110="","",IF(OR(H110="0,3mol",H110="0,30mol"),"G","R"))</f>
        <v/>
      </c>
      <c r="D110" s="343" t="s">
        <v>8</v>
      </c>
      <c r="E110" s="343"/>
      <c r="F110" s="343"/>
      <c r="G110" s="343"/>
      <c r="H110" s="164"/>
      <c r="I110" s="43"/>
      <c r="J110" s="202"/>
      <c r="K110" s="204"/>
      <c r="L110" s="29"/>
      <c r="O110" s="311"/>
      <c r="P110" s="235" t="s">
        <v>53</v>
      </c>
      <c r="Q110" s="235"/>
      <c r="R110" s="235"/>
      <c r="S110" s="235"/>
      <c r="T110" s="235"/>
      <c r="U110" s="235"/>
      <c r="V110" s="235"/>
      <c r="W110" s="235"/>
      <c r="X110" s="235"/>
      <c r="Z110" s="30"/>
    </row>
    <row r="111" spans="1:26" ht="13.9" customHeight="1" x14ac:dyDescent="0.2">
      <c r="I111" s="7"/>
      <c r="J111" s="32"/>
      <c r="K111" s="28"/>
      <c r="L111" s="29"/>
      <c r="P111" s="235"/>
      <c r="Q111" s="235"/>
      <c r="R111" s="235"/>
      <c r="S111" s="235"/>
      <c r="T111" s="235"/>
      <c r="U111" s="235"/>
      <c r="V111" s="235"/>
      <c r="W111" s="235"/>
      <c r="X111" s="235"/>
      <c r="Z111" s="30"/>
    </row>
    <row r="112" spans="1:26" ht="13.9" customHeight="1" x14ac:dyDescent="0.2">
      <c r="A112" s="40"/>
      <c r="B112" s="40"/>
      <c r="C112" s="45" t="str">
        <f>IF(B108&lt;&gt;"G","",5)</f>
        <v/>
      </c>
      <c r="D112" s="45" t="str">
        <f>IF(B110&lt;&gt;"G","",10)</f>
        <v/>
      </c>
      <c r="E112" s="40"/>
      <c r="F112" s="40"/>
      <c r="G112" s="40"/>
      <c r="H112" s="40"/>
      <c r="I112" s="40"/>
      <c r="J112" s="56"/>
      <c r="K112" s="28"/>
      <c r="L112" s="29"/>
      <c r="Q112" s="287" t="s">
        <v>29</v>
      </c>
      <c r="R112" s="287"/>
      <c r="S112" s="287"/>
      <c r="T112" s="287"/>
      <c r="U112" s="287"/>
      <c r="V112" s="287"/>
      <c r="W112" s="287"/>
      <c r="Z112" s="30"/>
    </row>
    <row r="113" spans="1:26" ht="13.9" customHeight="1" x14ac:dyDescent="0.2">
      <c r="A113" s="7"/>
      <c r="B113" s="42"/>
      <c r="C113" s="7"/>
      <c r="D113" s="7"/>
      <c r="E113" s="7"/>
      <c r="F113" s="7"/>
      <c r="G113" s="7"/>
      <c r="H113" s="7"/>
      <c r="I113" s="7"/>
      <c r="J113" s="32"/>
      <c r="K113" s="28"/>
      <c r="L113" s="29"/>
      <c r="Q113" s="287"/>
      <c r="R113" s="287"/>
      <c r="S113" s="287"/>
      <c r="T113" s="287"/>
      <c r="U113" s="287"/>
      <c r="V113" s="287"/>
      <c r="W113" s="287"/>
      <c r="Z113" s="30"/>
    </row>
    <row r="114" spans="1:26" ht="16.149999999999999" customHeight="1" x14ac:dyDescent="0.25">
      <c r="A114" s="7"/>
      <c r="B114" s="35" t="s">
        <v>342</v>
      </c>
      <c r="C114" s="46"/>
      <c r="D114" s="47" t="s">
        <v>228</v>
      </c>
      <c r="E114" s="48" t="s">
        <v>351</v>
      </c>
      <c r="F114" s="57" t="s">
        <v>64</v>
      </c>
      <c r="G114" s="50" t="s">
        <v>352</v>
      </c>
      <c r="H114" s="51" t="s">
        <v>65</v>
      </c>
      <c r="I114" s="52"/>
      <c r="J114" s="32"/>
      <c r="K114" s="28"/>
      <c r="L114" s="29"/>
      <c r="P114" s="260" t="s">
        <v>54</v>
      </c>
      <c r="Q114" s="260"/>
      <c r="R114" s="260"/>
      <c r="S114" s="260"/>
      <c r="T114" s="260"/>
      <c r="U114" s="260"/>
      <c r="V114" s="260"/>
      <c r="Z114" s="30"/>
    </row>
    <row r="115" spans="1:26" ht="13.9" customHeight="1" x14ac:dyDescent="0.2">
      <c r="I115" s="7"/>
      <c r="J115" s="32"/>
      <c r="K115" s="28"/>
      <c r="L115" s="29"/>
      <c r="Z115" s="30"/>
    </row>
    <row r="116" spans="1:26" ht="13.9" customHeight="1" x14ac:dyDescent="0.2">
      <c r="D116" s="53" t="s">
        <v>357</v>
      </c>
      <c r="F116" s="53" t="s">
        <v>358</v>
      </c>
      <c r="I116" s="7"/>
      <c r="J116" s="32"/>
      <c r="K116" s="28"/>
      <c r="L116" s="29"/>
      <c r="Q116" s="282" t="s">
        <v>30</v>
      </c>
      <c r="R116" s="282"/>
      <c r="Z116" s="30"/>
    </row>
    <row r="117" spans="1:26" ht="13.9" customHeight="1" x14ac:dyDescent="0.2">
      <c r="I117" s="7"/>
      <c r="J117" s="32"/>
      <c r="K117" s="28"/>
      <c r="L117" s="29"/>
      <c r="Q117" s="282"/>
      <c r="R117" s="282"/>
      <c r="Z117" s="30"/>
    </row>
    <row r="118" spans="1:26" ht="13.9" customHeight="1" thickBot="1" x14ac:dyDescent="0.25">
      <c r="B118" s="12" t="str">
        <f>IF(H118="","",IF(OR(H118="N2",H118="Ν2"),"G","R"))</f>
        <v/>
      </c>
      <c r="C118" s="343" t="s">
        <v>355</v>
      </c>
      <c r="D118" s="343"/>
      <c r="E118" s="343"/>
      <c r="F118" s="343"/>
      <c r="G118" s="343"/>
      <c r="H118" s="164"/>
      <c r="I118" s="7"/>
      <c r="J118" s="32"/>
      <c r="K118" s="28"/>
      <c r="L118" s="29"/>
      <c r="Q118" s="283" t="s">
        <v>31</v>
      </c>
      <c r="R118" s="283"/>
      <c r="Z118" s="30"/>
    </row>
    <row r="119" spans="1:26" ht="13.9" customHeight="1" x14ac:dyDescent="0.2">
      <c r="I119" s="43"/>
      <c r="J119" s="201" t="str">
        <f>IF(K119="","",IF(K119=25,O17,O24))</f>
        <v/>
      </c>
      <c r="K119" s="203" t="str">
        <f>IF(OR(B118="",B120=""),"",SUM(C122:D122))</f>
        <v/>
      </c>
      <c r="L119" s="29"/>
      <c r="O119" s="311">
        <v>25</v>
      </c>
      <c r="Q119" s="283"/>
      <c r="R119" s="283"/>
      <c r="Z119" s="30"/>
    </row>
    <row r="120" spans="1:26" ht="13.9" customHeight="1" thickBot="1" x14ac:dyDescent="0.25">
      <c r="B120" s="12" t="str">
        <f>IF(H120="","",IF(H120="0,24mol","G","R"))</f>
        <v/>
      </c>
      <c r="D120" s="343" t="s">
        <v>8</v>
      </c>
      <c r="E120" s="343"/>
      <c r="F120" s="343"/>
      <c r="G120" s="343"/>
      <c r="H120" s="164"/>
      <c r="I120" s="43"/>
      <c r="J120" s="202"/>
      <c r="K120" s="204"/>
      <c r="L120" s="29"/>
      <c r="O120" s="311"/>
      <c r="P120" s="264" t="s">
        <v>55</v>
      </c>
      <c r="Q120" s="264"/>
      <c r="R120" s="264"/>
      <c r="S120" s="264"/>
      <c r="T120" s="264"/>
      <c r="U120" s="264"/>
      <c r="V120" s="264"/>
      <c r="W120" s="264"/>
      <c r="X120" s="264"/>
      <c r="Z120" s="30"/>
    </row>
    <row r="121" spans="1:26" ht="13.9" customHeight="1" x14ac:dyDescent="0.2">
      <c r="I121" s="7"/>
      <c r="J121" s="32"/>
      <c r="K121" s="28"/>
      <c r="L121" s="29"/>
      <c r="P121" s="264"/>
      <c r="Q121" s="264"/>
      <c r="R121" s="264"/>
      <c r="S121" s="264"/>
      <c r="T121" s="264"/>
      <c r="U121" s="264"/>
      <c r="V121" s="264"/>
      <c r="W121" s="264"/>
      <c r="X121" s="264"/>
      <c r="Z121" s="30"/>
    </row>
    <row r="122" spans="1:26" ht="13.9" customHeight="1" x14ac:dyDescent="0.2">
      <c r="A122" s="40"/>
      <c r="B122" s="40"/>
      <c r="C122" s="45" t="str">
        <f>IF(B118&lt;&gt;"G","",15)</f>
        <v/>
      </c>
      <c r="D122" s="45" t="str">
        <f>IF(B120&lt;&gt;"G","",10)</f>
        <v/>
      </c>
      <c r="E122" s="40"/>
      <c r="F122" s="40"/>
      <c r="G122" s="40"/>
      <c r="H122" s="40"/>
      <c r="I122" s="40"/>
      <c r="J122" s="56"/>
      <c r="K122" s="28"/>
      <c r="L122" s="29"/>
      <c r="P122" s="264"/>
      <c r="Q122" s="264"/>
      <c r="R122" s="264"/>
      <c r="S122" s="264"/>
      <c r="T122" s="264"/>
      <c r="U122" s="264"/>
      <c r="V122" s="264"/>
      <c r="W122" s="264"/>
      <c r="X122" s="264"/>
      <c r="Z122" s="30"/>
    </row>
    <row r="123" spans="1:26" ht="13.9" customHeight="1" x14ac:dyDescent="0.2">
      <c r="A123" s="7"/>
      <c r="B123" s="42"/>
      <c r="C123" s="7"/>
      <c r="D123" s="7"/>
      <c r="E123" s="7"/>
      <c r="F123" s="7"/>
      <c r="G123" s="7"/>
      <c r="H123" s="7"/>
      <c r="I123" s="7"/>
      <c r="J123" s="32"/>
      <c r="K123" s="28"/>
      <c r="L123" s="29"/>
      <c r="P123" s="264"/>
      <c r="Q123" s="264"/>
      <c r="R123" s="264"/>
      <c r="S123" s="264"/>
      <c r="T123" s="264"/>
      <c r="U123" s="264"/>
      <c r="V123" s="264"/>
      <c r="W123" s="264"/>
      <c r="X123" s="264"/>
      <c r="Z123" s="30"/>
    </row>
    <row r="124" spans="1:26" ht="16.149999999999999" customHeight="1" x14ac:dyDescent="0.25">
      <c r="A124" s="7"/>
      <c r="B124" s="35" t="s">
        <v>343</v>
      </c>
      <c r="C124" s="46"/>
      <c r="D124" s="47" t="s">
        <v>228</v>
      </c>
      <c r="E124" s="48" t="s">
        <v>351</v>
      </c>
      <c r="F124" s="57" t="s">
        <v>66</v>
      </c>
      <c r="G124" s="50" t="s">
        <v>352</v>
      </c>
      <c r="H124" s="51" t="s">
        <v>67</v>
      </c>
      <c r="I124" s="52"/>
      <c r="J124" s="32"/>
      <c r="K124" s="28"/>
      <c r="L124" s="29"/>
      <c r="P124" s="264"/>
      <c r="Q124" s="264"/>
      <c r="R124" s="264"/>
      <c r="S124" s="264"/>
      <c r="T124" s="264"/>
      <c r="U124" s="264"/>
      <c r="V124" s="264"/>
      <c r="W124" s="264"/>
      <c r="X124" s="264"/>
      <c r="Z124" s="30"/>
    </row>
    <row r="125" spans="1:26" ht="13.9" customHeight="1" x14ac:dyDescent="0.2">
      <c r="I125" s="7"/>
      <c r="J125" s="32"/>
      <c r="K125" s="28"/>
      <c r="L125" s="29"/>
      <c r="P125" s="264"/>
      <c r="Q125" s="264"/>
      <c r="R125" s="264"/>
      <c r="S125" s="264"/>
      <c r="T125" s="264"/>
      <c r="U125" s="264"/>
      <c r="V125" s="264"/>
      <c r="W125" s="264"/>
      <c r="X125" s="264"/>
      <c r="Z125" s="30"/>
    </row>
    <row r="126" spans="1:26" ht="13.9" customHeight="1" x14ac:dyDescent="0.2">
      <c r="D126" s="53" t="s">
        <v>359</v>
      </c>
      <c r="F126" s="53" t="s">
        <v>360</v>
      </c>
      <c r="I126" s="7"/>
      <c r="J126" s="32"/>
      <c r="K126" s="28"/>
      <c r="L126" s="29"/>
      <c r="P126" s="264"/>
      <c r="Q126" s="264"/>
      <c r="R126" s="264"/>
      <c r="S126" s="264"/>
      <c r="T126" s="264"/>
      <c r="U126" s="264"/>
      <c r="V126" s="264"/>
      <c r="W126" s="264"/>
      <c r="X126" s="264"/>
      <c r="Z126" s="30"/>
    </row>
    <row r="127" spans="1:26" ht="13.9" customHeight="1" x14ac:dyDescent="0.2">
      <c r="I127" s="7"/>
      <c r="J127" s="32"/>
      <c r="K127" s="28"/>
      <c r="L127" s="29"/>
      <c r="P127" s="264"/>
      <c r="Q127" s="264"/>
      <c r="R127" s="264"/>
      <c r="S127" s="264"/>
      <c r="T127" s="264"/>
      <c r="U127" s="264"/>
      <c r="V127" s="264"/>
      <c r="W127" s="264"/>
      <c r="X127" s="264"/>
      <c r="Z127" s="30"/>
    </row>
    <row r="128" spans="1:26" ht="13.9" customHeight="1" thickBot="1" x14ac:dyDescent="0.25">
      <c r="B128" s="12" t="str">
        <f>IF(H128="","",IF(H128="ΣΤΑΝΑΛ","G","R"))</f>
        <v/>
      </c>
      <c r="C128" s="343" t="s">
        <v>355</v>
      </c>
      <c r="D128" s="343"/>
      <c r="E128" s="343"/>
      <c r="F128" s="343"/>
      <c r="G128" s="343"/>
      <c r="H128" s="164"/>
      <c r="I128" s="7"/>
      <c r="J128" s="32"/>
      <c r="K128" s="28"/>
      <c r="L128" s="29"/>
      <c r="P128" s="264"/>
      <c r="Q128" s="264"/>
      <c r="R128" s="264"/>
      <c r="S128" s="264"/>
      <c r="T128" s="264"/>
      <c r="U128" s="264"/>
      <c r="V128" s="264"/>
      <c r="W128" s="264"/>
      <c r="X128" s="264"/>
      <c r="Z128" s="30"/>
    </row>
    <row r="129" spans="1:26" ht="13.9" customHeight="1" x14ac:dyDescent="0.2">
      <c r="I129" s="43"/>
      <c r="J129" s="201" t="str">
        <f>IF(K129="","",IF(K129=25,O17,O24))</f>
        <v/>
      </c>
      <c r="K129" s="203" t="str">
        <f>IF(OR(B128="",B130=""),"",SUM(C132:D132))</f>
        <v/>
      </c>
      <c r="L129" s="29"/>
      <c r="O129" s="311">
        <v>25</v>
      </c>
      <c r="P129" s="264"/>
      <c r="Q129" s="264"/>
      <c r="R129" s="264"/>
      <c r="S129" s="264"/>
      <c r="T129" s="264"/>
      <c r="U129" s="264"/>
      <c r="V129" s="264"/>
      <c r="W129" s="264"/>
      <c r="X129" s="264"/>
      <c r="Z129" s="30"/>
    </row>
    <row r="130" spans="1:26" ht="13.9" customHeight="1" thickBot="1" x14ac:dyDescent="0.25">
      <c r="A130" s="58"/>
      <c r="B130" s="12" t="str">
        <f>IF(H130="","",IF(OR(H130="0,5mol",H130="0,50mol"),"G","R"))</f>
        <v/>
      </c>
      <c r="D130" s="343" t="s">
        <v>8</v>
      </c>
      <c r="E130" s="343"/>
      <c r="F130" s="343"/>
      <c r="G130" s="343"/>
      <c r="H130" s="164"/>
      <c r="I130" s="43"/>
      <c r="J130" s="202"/>
      <c r="K130" s="204"/>
      <c r="L130" s="29"/>
      <c r="O130" s="311"/>
      <c r="P130" s="264"/>
      <c r="Q130" s="264"/>
      <c r="R130" s="264"/>
      <c r="S130" s="264"/>
      <c r="T130" s="264"/>
      <c r="U130" s="264"/>
      <c r="V130" s="264"/>
      <c r="W130" s="264"/>
      <c r="X130" s="264"/>
      <c r="Z130" s="30"/>
    </row>
    <row r="131" spans="1:26" ht="13.9" customHeight="1" x14ac:dyDescent="0.2">
      <c r="I131" s="7"/>
      <c r="J131" s="32"/>
      <c r="K131" s="28"/>
      <c r="L131" s="29"/>
      <c r="P131" s="264" t="s">
        <v>56</v>
      </c>
      <c r="Q131" s="264"/>
      <c r="R131" s="264"/>
      <c r="S131" s="264"/>
      <c r="T131" s="264"/>
      <c r="U131" s="264"/>
      <c r="V131" s="264"/>
      <c r="W131" s="264"/>
      <c r="X131" s="264"/>
      <c r="Z131" s="30"/>
    </row>
    <row r="132" spans="1:26" ht="13.9" customHeight="1" x14ac:dyDescent="0.2">
      <c r="A132" s="40"/>
      <c r="B132" s="40"/>
      <c r="C132" s="45" t="str">
        <f>IF(B128&lt;&gt;"G","",15)</f>
        <v/>
      </c>
      <c r="D132" s="45" t="str">
        <f>IF(B130&lt;&gt;"G","",10)</f>
        <v/>
      </c>
      <c r="E132" s="40"/>
      <c r="F132" s="40"/>
      <c r="G132" s="40"/>
      <c r="H132" s="40"/>
      <c r="I132" s="40"/>
      <c r="J132" s="56"/>
      <c r="K132" s="28"/>
      <c r="L132" s="29"/>
      <c r="P132" s="264"/>
      <c r="Q132" s="264"/>
      <c r="R132" s="264"/>
      <c r="S132" s="264"/>
      <c r="T132" s="264"/>
      <c r="U132" s="264"/>
      <c r="V132" s="264"/>
      <c r="W132" s="264"/>
      <c r="X132" s="264"/>
      <c r="Z132" s="30"/>
    </row>
    <row r="133" spans="1:26" ht="13.9" customHeight="1" x14ac:dyDescent="0.2">
      <c r="A133" s="7"/>
      <c r="B133" s="42"/>
      <c r="C133" s="7"/>
      <c r="D133" s="7"/>
      <c r="E133" s="7"/>
      <c r="F133" s="7"/>
      <c r="G133" s="7"/>
      <c r="H133" s="7"/>
      <c r="I133" s="7"/>
      <c r="J133" s="32"/>
      <c r="K133" s="28"/>
      <c r="L133" s="29"/>
      <c r="P133" s="264"/>
      <c r="Q133" s="264"/>
      <c r="R133" s="264"/>
      <c r="S133" s="264"/>
      <c r="T133" s="264"/>
      <c r="U133" s="264"/>
      <c r="V133" s="264"/>
      <c r="W133" s="264"/>
      <c r="X133" s="264"/>
      <c r="Z133" s="30"/>
    </row>
    <row r="134" spans="1:26" ht="16.149999999999999" customHeight="1" x14ac:dyDescent="0.25">
      <c r="A134" s="7"/>
      <c r="B134" s="35" t="s">
        <v>364</v>
      </c>
      <c r="C134" s="46"/>
      <c r="D134" s="47" t="s">
        <v>228</v>
      </c>
      <c r="E134" s="48" t="s">
        <v>351</v>
      </c>
      <c r="F134" s="57" t="s">
        <v>66</v>
      </c>
      <c r="G134" s="50" t="s">
        <v>352</v>
      </c>
      <c r="H134" s="51" t="s">
        <v>67</v>
      </c>
      <c r="I134" s="52"/>
      <c r="J134" s="32"/>
      <c r="K134" s="28"/>
      <c r="L134" s="29"/>
      <c r="P134" s="264"/>
      <c r="Q134" s="264"/>
      <c r="R134" s="264"/>
      <c r="S134" s="264"/>
      <c r="T134" s="264"/>
      <c r="U134" s="264"/>
      <c r="V134" s="264"/>
      <c r="W134" s="264"/>
      <c r="X134" s="264"/>
      <c r="Z134" s="30"/>
    </row>
    <row r="135" spans="1:26" ht="13.9" customHeight="1" x14ac:dyDescent="0.2">
      <c r="I135" s="7"/>
      <c r="J135" s="32"/>
      <c r="K135" s="28"/>
      <c r="L135" s="29"/>
      <c r="Z135" s="30"/>
    </row>
    <row r="136" spans="1:26" ht="13.9" customHeight="1" x14ac:dyDescent="0.2">
      <c r="A136" s="25"/>
      <c r="D136" s="53" t="s">
        <v>362</v>
      </c>
      <c r="F136" s="53" t="s">
        <v>363</v>
      </c>
      <c r="I136" s="7"/>
      <c r="J136" s="32"/>
      <c r="K136" s="28"/>
      <c r="L136" s="29"/>
      <c r="Q136" s="282" t="s">
        <v>526</v>
      </c>
      <c r="R136" s="282"/>
      <c r="S136" s="284" t="s">
        <v>32</v>
      </c>
      <c r="Z136" s="30"/>
    </row>
    <row r="137" spans="1:26" ht="13.9" customHeight="1" x14ac:dyDescent="0.2">
      <c r="I137" s="7"/>
      <c r="J137" s="32"/>
      <c r="K137" s="28"/>
      <c r="L137" s="29"/>
      <c r="Q137" s="282"/>
      <c r="R137" s="282"/>
      <c r="S137" s="284"/>
      <c r="T137" s="285" t="s">
        <v>314</v>
      </c>
      <c r="U137" s="284" t="s">
        <v>528</v>
      </c>
      <c r="V137" s="284"/>
      <c r="Z137" s="30"/>
    </row>
    <row r="138" spans="1:26" ht="13.9" customHeight="1" thickBot="1" x14ac:dyDescent="0.25">
      <c r="B138" s="12" t="str">
        <f>IF(H138="","",IF(OR(H138="N2",H138="Ν2"),"G","R"))</f>
        <v/>
      </c>
      <c r="C138" s="343" t="s">
        <v>355</v>
      </c>
      <c r="D138" s="343"/>
      <c r="E138" s="343"/>
      <c r="F138" s="343"/>
      <c r="G138" s="343"/>
      <c r="H138" s="164"/>
      <c r="I138" s="7"/>
      <c r="J138" s="32"/>
      <c r="K138" s="28"/>
      <c r="L138" s="29"/>
      <c r="Q138" s="283" t="s">
        <v>527</v>
      </c>
      <c r="R138" s="283"/>
      <c r="S138" s="284"/>
      <c r="T138" s="285"/>
      <c r="U138" s="284"/>
      <c r="V138" s="284"/>
      <c r="Z138" s="30"/>
    </row>
    <row r="139" spans="1:26" ht="13.9" customHeight="1" x14ac:dyDescent="0.2">
      <c r="I139" s="43"/>
      <c r="J139" s="201" t="str">
        <f>IF(K139="","",IF(K139=25,O17,O24))</f>
        <v/>
      </c>
      <c r="K139" s="203" t="str">
        <f>IF(OR(B138="",B140=""),"",SUM(C142:D142))</f>
        <v/>
      </c>
      <c r="L139" s="29"/>
      <c r="O139" s="311">
        <v>25</v>
      </c>
      <c r="Q139" s="283"/>
      <c r="R139" s="283"/>
      <c r="S139" s="284"/>
      <c r="Z139" s="30"/>
    </row>
    <row r="140" spans="1:26" ht="13.9" customHeight="1" thickBot="1" x14ac:dyDescent="0.25">
      <c r="B140" s="12" t="str">
        <f>IF(H140="","",IF(H140="0,32mol","G","R"))</f>
        <v/>
      </c>
      <c r="D140" s="343" t="s">
        <v>8</v>
      </c>
      <c r="E140" s="343"/>
      <c r="F140" s="343"/>
      <c r="G140" s="343"/>
      <c r="H140" s="164"/>
      <c r="I140" s="43"/>
      <c r="J140" s="202"/>
      <c r="K140" s="204"/>
      <c r="L140" s="29"/>
      <c r="O140" s="311"/>
      <c r="P140" s="235" t="s">
        <v>57</v>
      </c>
      <c r="Q140" s="235"/>
      <c r="R140" s="235"/>
      <c r="S140" s="235"/>
      <c r="T140" s="235"/>
      <c r="U140" s="235"/>
      <c r="V140" s="235"/>
      <c r="W140" s="235"/>
      <c r="X140" s="235"/>
      <c r="Z140" s="30"/>
    </row>
    <row r="141" spans="1:26" ht="13.9" customHeight="1" x14ac:dyDescent="0.2">
      <c r="I141" s="7"/>
      <c r="J141" s="32"/>
      <c r="K141" s="28"/>
      <c r="L141" s="29"/>
      <c r="P141" s="235"/>
      <c r="Q141" s="235"/>
      <c r="R141" s="235"/>
      <c r="S141" s="235"/>
      <c r="T141" s="235"/>
      <c r="U141" s="235"/>
      <c r="V141" s="235"/>
      <c r="W141" s="235"/>
      <c r="X141" s="235"/>
      <c r="Z141" s="30"/>
    </row>
    <row r="142" spans="1:26" ht="13.9" customHeight="1" x14ac:dyDescent="0.2">
      <c r="A142" s="40"/>
      <c r="B142" s="40"/>
      <c r="C142" s="45" t="str">
        <f>IF(B138&lt;&gt;"G","",15)</f>
        <v/>
      </c>
      <c r="D142" s="45" t="str">
        <f>IF(B140&lt;&gt;"G","",10)</f>
        <v/>
      </c>
      <c r="E142" s="40"/>
      <c r="F142" s="40"/>
      <c r="G142" s="40"/>
      <c r="H142" s="40"/>
      <c r="I142" s="40"/>
      <c r="J142" s="28"/>
      <c r="K142" s="28"/>
      <c r="L142" s="29"/>
      <c r="P142" s="498" t="s">
        <v>58</v>
      </c>
      <c r="Q142" s="235"/>
      <c r="R142" s="235"/>
      <c r="S142" s="235"/>
      <c r="T142" s="235"/>
      <c r="U142" s="235"/>
      <c r="V142" s="235"/>
      <c r="W142" s="235"/>
      <c r="X142" s="235"/>
      <c r="Z142" s="30"/>
    </row>
    <row r="143" spans="1:26" ht="13.9" customHeight="1" x14ac:dyDescent="0.2">
      <c r="A143" s="7"/>
      <c r="B143" s="42"/>
      <c r="C143" s="7"/>
      <c r="D143" s="7"/>
      <c r="E143" s="7"/>
      <c r="F143" s="7"/>
      <c r="G143" s="7"/>
      <c r="H143" s="7"/>
      <c r="I143" s="7"/>
      <c r="J143" s="32"/>
      <c r="K143" s="28"/>
      <c r="L143" s="29"/>
      <c r="P143" s="235"/>
      <c r="Q143" s="235"/>
      <c r="R143" s="235"/>
      <c r="S143" s="235"/>
      <c r="T143" s="235"/>
      <c r="U143" s="235"/>
      <c r="V143" s="235"/>
      <c r="W143" s="235"/>
      <c r="X143" s="235"/>
      <c r="Z143" s="30"/>
    </row>
    <row r="144" spans="1:26" ht="16.149999999999999" customHeight="1" x14ac:dyDescent="0.25">
      <c r="A144" s="7"/>
      <c r="B144" s="35" t="s">
        <v>365</v>
      </c>
      <c r="C144" s="46"/>
      <c r="D144" s="59" t="s">
        <v>228</v>
      </c>
      <c r="E144" s="48" t="s">
        <v>351</v>
      </c>
      <c r="F144" s="57" t="s">
        <v>66</v>
      </c>
      <c r="G144" s="50" t="s">
        <v>352</v>
      </c>
      <c r="H144" s="51" t="s">
        <v>67</v>
      </c>
      <c r="I144" s="52"/>
      <c r="J144" s="32"/>
      <c r="K144" s="28"/>
      <c r="L144" s="29"/>
      <c r="P144" s="235"/>
      <c r="Q144" s="235"/>
      <c r="R144" s="235"/>
      <c r="S144" s="235"/>
      <c r="T144" s="235"/>
      <c r="U144" s="235"/>
      <c r="V144" s="235"/>
      <c r="W144" s="235"/>
      <c r="X144" s="235"/>
      <c r="Z144" s="30"/>
    </row>
    <row r="145" spans="1:26" ht="13.9" customHeight="1" x14ac:dyDescent="0.2">
      <c r="I145" s="7"/>
      <c r="J145" s="32"/>
      <c r="K145" s="28"/>
      <c r="L145" s="29"/>
      <c r="P145" s="235"/>
      <c r="Q145" s="235"/>
      <c r="R145" s="235"/>
      <c r="S145" s="235"/>
      <c r="T145" s="235"/>
      <c r="U145" s="235"/>
      <c r="V145" s="235"/>
      <c r="W145" s="235"/>
      <c r="X145" s="235"/>
      <c r="Z145" s="30"/>
    </row>
    <row r="146" spans="1:26" ht="13.9" customHeight="1" x14ac:dyDescent="0.2">
      <c r="D146" s="53" t="s">
        <v>354</v>
      </c>
      <c r="F146" s="53" t="s">
        <v>366</v>
      </c>
      <c r="I146" s="7"/>
      <c r="J146" s="32"/>
      <c r="K146" s="28"/>
      <c r="L146" s="29"/>
      <c r="P146" s="235"/>
      <c r="Q146" s="235"/>
      <c r="R146" s="235"/>
      <c r="S146" s="235"/>
      <c r="T146" s="235"/>
      <c r="U146" s="235"/>
      <c r="V146" s="235"/>
      <c r="W146" s="235"/>
      <c r="X146" s="235"/>
      <c r="Z146" s="30"/>
    </row>
    <row r="147" spans="1:26" ht="13.9" customHeight="1" x14ac:dyDescent="0.2">
      <c r="I147" s="7"/>
      <c r="J147" s="32"/>
      <c r="K147" s="28"/>
      <c r="L147" s="29"/>
      <c r="P147" s="235"/>
      <c r="Q147" s="235"/>
      <c r="R147" s="235"/>
      <c r="S147" s="235"/>
      <c r="T147" s="235"/>
      <c r="U147" s="235"/>
      <c r="V147" s="235"/>
      <c r="W147" s="235"/>
      <c r="X147" s="235"/>
      <c r="Z147" s="30"/>
    </row>
    <row r="148" spans="1:26" ht="16.149999999999999" customHeight="1" thickBot="1" x14ac:dyDescent="0.25">
      <c r="B148" s="25" t="str">
        <f>IF(H148="","",IF(OR(H148="N2",H148="Ν2"),"G","R"))</f>
        <v/>
      </c>
      <c r="C148" s="343" t="s">
        <v>355</v>
      </c>
      <c r="D148" s="343"/>
      <c r="E148" s="343"/>
      <c r="F148" s="343"/>
      <c r="G148" s="343"/>
      <c r="H148" s="164"/>
      <c r="I148" s="7"/>
      <c r="J148" s="32"/>
      <c r="K148" s="28"/>
      <c r="L148" s="29"/>
      <c r="P148" s="235" t="s">
        <v>60</v>
      </c>
      <c r="Q148" s="235"/>
      <c r="R148" s="235"/>
      <c r="S148" s="235"/>
      <c r="T148" s="235"/>
      <c r="U148" s="235"/>
      <c r="V148" s="235"/>
      <c r="W148" s="235"/>
      <c r="X148" s="235"/>
      <c r="Z148" s="30"/>
    </row>
    <row r="149" spans="1:26" ht="16.149999999999999" customHeight="1" x14ac:dyDescent="0.2">
      <c r="I149" s="43"/>
      <c r="J149" s="201" t="str">
        <f>IF(K149="","",IF(K149=25,O17,O24))</f>
        <v/>
      </c>
      <c r="K149" s="203" t="str">
        <f>IF(OR(B148="",B150=""),"",SUM(C152:D152))</f>
        <v/>
      </c>
      <c r="L149" s="29"/>
      <c r="O149" s="311">
        <v>25</v>
      </c>
      <c r="P149" s="235"/>
      <c r="Q149" s="235"/>
      <c r="R149" s="235"/>
      <c r="S149" s="235"/>
      <c r="T149" s="235"/>
      <c r="U149" s="235"/>
      <c r="V149" s="235"/>
      <c r="W149" s="235"/>
      <c r="X149" s="235"/>
      <c r="Z149" s="30"/>
    </row>
    <row r="150" spans="1:26" ht="16.149999999999999" customHeight="1" thickBot="1" x14ac:dyDescent="0.25">
      <c r="B150" s="25" t="str">
        <f>IF(H150="","",IF(H150="0,08mol","G","R"))</f>
        <v/>
      </c>
      <c r="D150" s="343" t="s">
        <v>8</v>
      </c>
      <c r="E150" s="343"/>
      <c r="F150" s="343"/>
      <c r="G150" s="343"/>
      <c r="H150" s="164"/>
      <c r="I150" s="43"/>
      <c r="J150" s="202"/>
      <c r="K150" s="204"/>
      <c r="L150" s="29"/>
      <c r="O150" s="311"/>
      <c r="P150" s="235"/>
      <c r="Q150" s="235"/>
      <c r="R150" s="235"/>
      <c r="S150" s="235"/>
      <c r="T150" s="235"/>
      <c r="U150" s="235"/>
      <c r="V150" s="235"/>
      <c r="W150" s="235"/>
      <c r="X150" s="235"/>
      <c r="Z150" s="30"/>
    </row>
    <row r="151" spans="1:26" ht="16.149999999999999" customHeight="1" x14ac:dyDescent="0.2">
      <c r="I151" s="7"/>
      <c r="J151" s="32"/>
      <c r="K151" s="28"/>
      <c r="L151" s="378" t="str">
        <f>IF(AND(K149="",K139="",K129="",K119="",K109="",K99="",K82="",K67="",K49="",K34=""),"",SUM(K34:K149))</f>
        <v/>
      </c>
      <c r="P151" s="235"/>
      <c r="Q151" s="235"/>
      <c r="R151" s="235"/>
      <c r="S151" s="235"/>
      <c r="T151" s="235"/>
      <c r="U151" s="235"/>
      <c r="V151" s="235"/>
      <c r="W151" s="235"/>
      <c r="X151" s="235"/>
      <c r="Z151" s="30"/>
    </row>
    <row r="152" spans="1:26" ht="16.149999999999999" customHeight="1" x14ac:dyDescent="0.2">
      <c r="A152" s="40"/>
      <c r="B152" s="40"/>
      <c r="C152" s="45" t="str">
        <f>IF(B148&lt;&gt;"G","",15)</f>
        <v/>
      </c>
      <c r="D152" s="45" t="str">
        <f>IF(B150&lt;&gt;"G","",10)</f>
        <v/>
      </c>
      <c r="E152" s="40"/>
      <c r="F152" s="40"/>
      <c r="G152" s="40"/>
      <c r="H152" s="40"/>
      <c r="I152" s="40"/>
      <c r="J152" s="28"/>
      <c r="K152" s="28"/>
      <c r="L152" s="378"/>
      <c r="P152" s="235"/>
      <c r="Q152" s="235"/>
      <c r="R152" s="235"/>
      <c r="S152" s="235"/>
      <c r="T152" s="235"/>
      <c r="U152" s="235"/>
      <c r="V152" s="235"/>
      <c r="W152" s="235"/>
      <c r="X152" s="235"/>
      <c r="Z152" s="30"/>
    </row>
    <row r="153" spans="1:26" ht="16.149999999999999" customHeight="1" x14ac:dyDescent="0.2">
      <c r="A153" s="7"/>
      <c r="B153" s="7"/>
      <c r="C153" s="7"/>
      <c r="D153" s="7"/>
      <c r="E153" s="7"/>
      <c r="F153" s="7"/>
      <c r="G153" s="7"/>
      <c r="H153" s="7"/>
      <c r="I153" s="7"/>
      <c r="J153" s="32"/>
      <c r="K153" s="28"/>
      <c r="L153" s="29"/>
      <c r="P153" s="235"/>
      <c r="Q153" s="235"/>
      <c r="R153" s="235"/>
      <c r="S153" s="235"/>
      <c r="T153" s="235"/>
      <c r="U153" s="235"/>
      <c r="V153" s="235"/>
      <c r="W153" s="235"/>
      <c r="X153" s="235"/>
      <c r="Z153" s="30"/>
    </row>
    <row r="154" spans="1:26" ht="16.149999999999999" customHeight="1" x14ac:dyDescent="0.2">
      <c r="A154" s="33" t="s">
        <v>367</v>
      </c>
      <c r="B154" s="245" t="s">
        <v>523</v>
      </c>
      <c r="C154" s="245"/>
      <c r="D154" s="245"/>
      <c r="E154" s="245"/>
      <c r="F154" s="245"/>
      <c r="G154" s="245"/>
      <c r="H154" s="245"/>
      <c r="I154" s="246"/>
      <c r="J154" s="32"/>
      <c r="K154" s="28"/>
      <c r="L154" s="29"/>
      <c r="P154" s="235"/>
      <c r="Q154" s="235"/>
      <c r="R154" s="235"/>
      <c r="S154" s="235"/>
      <c r="T154" s="235"/>
      <c r="U154" s="235"/>
      <c r="V154" s="235"/>
      <c r="W154" s="235"/>
      <c r="X154" s="235"/>
      <c r="Z154" s="30"/>
    </row>
    <row r="155" spans="1:26" ht="13.9" customHeight="1" x14ac:dyDescent="0.2">
      <c r="B155" s="245"/>
      <c r="C155" s="245"/>
      <c r="D155" s="245"/>
      <c r="E155" s="245"/>
      <c r="F155" s="245"/>
      <c r="G155" s="245"/>
      <c r="H155" s="245"/>
      <c r="I155" s="246"/>
      <c r="J155" s="32"/>
      <c r="K155" s="28"/>
      <c r="L155" s="29"/>
      <c r="R155" s="270" t="s">
        <v>315</v>
      </c>
      <c r="S155" s="256" t="s">
        <v>316</v>
      </c>
      <c r="T155" s="270" t="s">
        <v>35</v>
      </c>
      <c r="U155" s="270"/>
      <c r="Z155" s="30"/>
    </row>
    <row r="156" spans="1:26" ht="13.9" customHeight="1" x14ac:dyDescent="0.2">
      <c r="B156" s="245"/>
      <c r="C156" s="245"/>
      <c r="D156" s="245"/>
      <c r="E156" s="245"/>
      <c r="F156" s="245"/>
      <c r="G156" s="245"/>
      <c r="H156" s="245"/>
      <c r="I156" s="246"/>
      <c r="J156" s="32"/>
      <c r="K156" s="28"/>
      <c r="L156" s="29"/>
      <c r="R156" s="270"/>
      <c r="S156" s="256"/>
      <c r="T156" s="270"/>
      <c r="U156" s="270"/>
      <c r="Z156" s="30"/>
    </row>
    <row r="157" spans="1:26" ht="13.9" customHeight="1" x14ac:dyDescent="0.2">
      <c r="B157" s="245"/>
      <c r="C157" s="245"/>
      <c r="D157" s="245"/>
      <c r="E157" s="245"/>
      <c r="F157" s="245"/>
      <c r="G157" s="245"/>
      <c r="H157" s="245"/>
      <c r="I157" s="246"/>
      <c r="J157" s="32"/>
      <c r="K157" s="28"/>
      <c r="L157" s="29"/>
      <c r="P157" s="235" t="s">
        <v>61</v>
      </c>
      <c r="Q157" s="235"/>
      <c r="R157" s="235"/>
      <c r="S157" s="235"/>
      <c r="T157" s="235"/>
      <c r="U157" s="235"/>
      <c r="V157" s="235"/>
      <c r="W157" s="235"/>
      <c r="Z157" s="30"/>
    </row>
    <row r="158" spans="1:26" ht="13.9" customHeight="1" x14ac:dyDescent="0.2">
      <c r="B158" s="245"/>
      <c r="C158" s="245"/>
      <c r="D158" s="245"/>
      <c r="E158" s="245"/>
      <c r="F158" s="245"/>
      <c r="G158" s="245"/>
      <c r="H158" s="245"/>
      <c r="I158" s="246"/>
      <c r="J158" s="32"/>
      <c r="K158" s="28"/>
      <c r="L158" s="29"/>
      <c r="P158" s="235" t="s">
        <v>426</v>
      </c>
      <c r="Q158" s="235"/>
      <c r="R158" s="235"/>
      <c r="S158" s="235"/>
      <c r="T158" s="235"/>
      <c r="U158" s="235"/>
      <c r="V158" s="235"/>
      <c r="W158" s="235"/>
      <c r="Z158" s="30"/>
    </row>
    <row r="159" spans="1:26" ht="13.9" customHeight="1" x14ac:dyDescent="0.2">
      <c r="B159" s="245"/>
      <c r="C159" s="245"/>
      <c r="D159" s="245"/>
      <c r="E159" s="245"/>
      <c r="F159" s="245"/>
      <c r="G159" s="245"/>
      <c r="H159" s="245"/>
      <c r="I159" s="246"/>
      <c r="J159" s="32"/>
      <c r="K159" s="28"/>
      <c r="L159" s="29"/>
      <c r="T159" s="271" t="s">
        <v>37</v>
      </c>
      <c r="U159" s="271"/>
      <c r="V159" s="271"/>
      <c r="Z159" s="30"/>
    </row>
    <row r="160" spans="1:26" ht="13.9" customHeight="1" x14ac:dyDescent="0.2">
      <c r="B160" s="245"/>
      <c r="C160" s="245"/>
      <c r="D160" s="245"/>
      <c r="E160" s="245"/>
      <c r="F160" s="245"/>
      <c r="G160" s="245"/>
      <c r="H160" s="245"/>
      <c r="I160" s="246"/>
      <c r="J160" s="32"/>
      <c r="K160" s="28"/>
      <c r="L160" s="29"/>
      <c r="Q160" s="255" t="s">
        <v>36</v>
      </c>
      <c r="R160" s="255"/>
      <c r="S160" s="256" t="s">
        <v>312</v>
      </c>
      <c r="T160" s="271"/>
      <c r="U160" s="271"/>
      <c r="V160" s="271"/>
      <c r="Z160" s="30"/>
    </row>
    <row r="161" spans="2:26" ht="13.9" customHeight="1" x14ac:dyDescent="0.2">
      <c r="B161" s="245"/>
      <c r="C161" s="245"/>
      <c r="D161" s="245"/>
      <c r="E161" s="245"/>
      <c r="F161" s="245"/>
      <c r="G161" s="245"/>
      <c r="H161" s="245"/>
      <c r="I161" s="246"/>
      <c r="J161" s="32"/>
      <c r="K161" s="28"/>
      <c r="L161" s="29"/>
      <c r="Q161" s="255"/>
      <c r="R161" s="255"/>
      <c r="S161" s="256"/>
      <c r="T161" s="272" t="s">
        <v>38</v>
      </c>
      <c r="U161" s="272"/>
      <c r="V161" s="272"/>
      <c r="Z161" s="30"/>
    </row>
    <row r="162" spans="2:26" ht="13.9" customHeight="1" x14ac:dyDescent="0.2">
      <c r="B162" s="245"/>
      <c r="C162" s="245"/>
      <c r="D162" s="245"/>
      <c r="E162" s="245"/>
      <c r="F162" s="245"/>
      <c r="G162" s="245"/>
      <c r="H162" s="245"/>
      <c r="I162" s="246"/>
      <c r="J162" s="32"/>
      <c r="K162" s="28"/>
      <c r="L162" s="29"/>
      <c r="T162" s="272"/>
      <c r="U162" s="272"/>
      <c r="V162" s="272"/>
      <c r="Z162" s="30"/>
    </row>
    <row r="163" spans="2:26" ht="13.9" customHeight="1" x14ac:dyDescent="0.2">
      <c r="I163" s="60"/>
      <c r="J163" s="32"/>
      <c r="K163" s="28"/>
      <c r="L163" s="29"/>
      <c r="P163" s="235" t="s">
        <v>62</v>
      </c>
      <c r="Q163" s="235"/>
      <c r="R163" s="235"/>
      <c r="S163" s="235"/>
      <c r="T163" s="235"/>
      <c r="U163" s="235"/>
      <c r="V163" s="235"/>
      <c r="W163" s="235"/>
      <c r="Z163" s="30"/>
    </row>
    <row r="164" spans="2:26" ht="16.149999999999999" customHeight="1" x14ac:dyDescent="0.3">
      <c r="B164" s="35" t="s">
        <v>340</v>
      </c>
      <c r="C164" s="46"/>
      <c r="D164" s="188" t="s">
        <v>68</v>
      </c>
      <c r="E164" s="48" t="s">
        <v>351</v>
      </c>
      <c r="F164" s="187" t="s">
        <v>227</v>
      </c>
      <c r="G164" s="50" t="s">
        <v>368</v>
      </c>
      <c r="H164" s="189" t="s">
        <v>69</v>
      </c>
      <c r="I164" s="61"/>
      <c r="J164" s="32"/>
      <c r="K164" s="28"/>
      <c r="L164" s="29"/>
      <c r="Q164" s="499" t="s">
        <v>39</v>
      </c>
      <c r="R164" s="499"/>
      <c r="S164" s="499"/>
      <c r="T164" s="499"/>
      <c r="U164" s="292" t="s">
        <v>312</v>
      </c>
      <c r="V164" s="293" t="s">
        <v>40</v>
      </c>
      <c r="W164" s="293"/>
      <c r="Z164" s="30"/>
    </row>
    <row r="165" spans="2:26" ht="13.5" customHeight="1" thickBot="1" x14ac:dyDescent="0.25">
      <c r="I165" s="7"/>
      <c r="J165" s="32"/>
      <c r="K165" s="28"/>
      <c r="L165" s="29"/>
      <c r="Q165" s="499"/>
      <c r="R165" s="499"/>
      <c r="S165" s="499"/>
      <c r="T165" s="499"/>
      <c r="U165" s="292"/>
      <c r="V165" s="293"/>
      <c r="W165" s="293"/>
      <c r="Z165" s="30"/>
    </row>
    <row r="166" spans="2:26" ht="13.9" customHeight="1" thickTop="1" thickBot="1" x14ac:dyDescent="0.25">
      <c r="B166" s="62" t="s">
        <v>376</v>
      </c>
      <c r="C166" s="63" t="s">
        <v>369</v>
      </c>
      <c r="D166" s="64" t="s">
        <v>373</v>
      </c>
      <c r="E166" s="214" t="s">
        <v>351</v>
      </c>
      <c r="F166" s="64" t="s">
        <v>374</v>
      </c>
      <c r="G166" s="213" t="s">
        <v>368</v>
      </c>
      <c r="H166" s="65"/>
      <c r="I166" s="193"/>
      <c r="J166" s="32"/>
      <c r="K166" s="28"/>
      <c r="L166" s="29"/>
      <c r="P166" s="264" t="s">
        <v>63</v>
      </c>
      <c r="Q166" s="264"/>
      <c r="R166" s="264"/>
      <c r="S166" s="264"/>
      <c r="T166" s="264"/>
      <c r="U166" s="264"/>
      <c r="V166" s="264"/>
      <c r="W166" s="264"/>
      <c r="X166" s="264"/>
      <c r="Z166" s="30"/>
    </row>
    <row r="167" spans="2:26" ht="13.9" customHeight="1" thickTop="1" thickBot="1" x14ac:dyDescent="0.25">
      <c r="B167" s="480" t="s">
        <v>198</v>
      </c>
      <c r="C167" s="63" t="s">
        <v>372</v>
      </c>
      <c r="D167" s="165"/>
      <c r="E167" s="214"/>
      <c r="F167" s="165"/>
      <c r="G167" s="213"/>
      <c r="H167" s="65"/>
      <c r="I167" s="195" t="str">
        <f>IF(OR(D167="",F167=""),"",IF(AND(D167="4,8mol",F167="2,4mol"),"G","R"))</f>
        <v/>
      </c>
      <c r="J167" s="32"/>
      <c r="K167" s="28"/>
      <c r="L167" s="29"/>
      <c r="P167" s="264"/>
      <c r="Q167" s="264"/>
      <c r="R167" s="264"/>
      <c r="S167" s="264"/>
      <c r="T167" s="264"/>
      <c r="U167" s="264"/>
      <c r="V167" s="264"/>
      <c r="W167" s="264"/>
      <c r="X167" s="264"/>
      <c r="Z167" s="30"/>
    </row>
    <row r="168" spans="2:26" ht="13.9" customHeight="1" thickTop="1" thickBot="1" x14ac:dyDescent="0.25">
      <c r="B168" s="480"/>
      <c r="C168" s="66" t="s">
        <v>370</v>
      </c>
      <c r="D168" s="67"/>
      <c r="E168" s="214"/>
      <c r="F168" s="67"/>
      <c r="G168" s="213"/>
      <c r="H168" s="165"/>
      <c r="I168" s="195"/>
      <c r="J168" s="32"/>
      <c r="K168" s="28"/>
      <c r="L168" s="29"/>
      <c r="P168" s="264"/>
      <c r="Q168" s="264"/>
      <c r="R168" s="264"/>
      <c r="S168" s="264"/>
      <c r="T168" s="264"/>
      <c r="U168" s="264"/>
      <c r="V168" s="264"/>
      <c r="W168" s="264"/>
      <c r="X168" s="264"/>
      <c r="Z168" s="30"/>
    </row>
    <row r="169" spans="2:26" ht="13.9" customHeight="1" thickTop="1" thickBot="1" x14ac:dyDescent="0.25">
      <c r="B169" s="62" t="s">
        <v>376</v>
      </c>
      <c r="C169" s="68" t="s">
        <v>371</v>
      </c>
      <c r="D169" s="165"/>
      <c r="E169" s="214"/>
      <c r="F169" s="165"/>
      <c r="G169" s="213"/>
      <c r="H169" s="64" t="s">
        <v>375</v>
      </c>
      <c r="I169" s="195" t="str">
        <f>IF(OR(D169="",F169=""),"",IF(AND(D169="1,2mol",F169="1,6mol"),"G","R"))</f>
        <v/>
      </c>
      <c r="J169" s="32"/>
      <c r="K169" s="28"/>
      <c r="L169" s="29"/>
      <c r="P169" s="264"/>
      <c r="Q169" s="264"/>
      <c r="R169" s="264"/>
      <c r="S169" s="264"/>
      <c r="T169" s="264"/>
      <c r="U169" s="264"/>
      <c r="V169" s="264"/>
      <c r="W169" s="264"/>
      <c r="X169" s="264"/>
      <c r="Z169" s="30"/>
    </row>
    <row r="170" spans="2:26" ht="13.9" customHeight="1" thickTop="1" thickBot="1" x14ac:dyDescent="0.25">
      <c r="I170" s="195"/>
      <c r="J170" s="32"/>
      <c r="K170" s="28"/>
      <c r="L170" s="29"/>
      <c r="P170" s="264"/>
      <c r="Q170" s="264"/>
      <c r="R170" s="264"/>
      <c r="S170" s="264"/>
      <c r="T170" s="264"/>
      <c r="U170" s="264"/>
      <c r="V170" s="264"/>
      <c r="W170" s="264"/>
      <c r="X170" s="264"/>
      <c r="Z170" s="30"/>
    </row>
    <row r="171" spans="2:26" ht="16.149999999999999" customHeight="1" thickTop="1" thickBot="1" x14ac:dyDescent="0.25">
      <c r="C171" s="394" t="s">
        <v>485</v>
      </c>
      <c r="D171" s="394"/>
      <c r="E171" s="394"/>
      <c r="F171" s="394"/>
      <c r="G171" s="394"/>
      <c r="H171" s="166"/>
      <c r="I171" s="195" t="str">
        <f>IF(H171="","",IF(H171=0.8,"G","R"))</f>
        <v/>
      </c>
      <c r="J171" s="32"/>
      <c r="K171" s="28"/>
      <c r="L171" s="29"/>
      <c r="P171" s="235" t="s">
        <v>425</v>
      </c>
      <c r="Q171" s="235"/>
      <c r="R171" s="235"/>
      <c r="S171" s="235"/>
      <c r="T171" s="235"/>
      <c r="U171" s="235"/>
      <c r="V171" s="235"/>
      <c r="W171" s="235"/>
      <c r="X171" s="235"/>
      <c r="Z171" s="30"/>
    </row>
    <row r="172" spans="2:26" ht="16.149999999999999" customHeight="1" thickTop="1" thickBot="1" x14ac:dyDescent="0.25">
      <c r="I172" s="195"/>
      <c r="J172" s="32"/>
      <c r="K172" s="28"/>
      <c r="L172" s="29"/>
      <c r="P172" s="235"/>
      <c r="Q172" s="235"/>
      <c r="R172" s="235"/>
      <c r="S172" s="235"/>
      <c r="T172" s="235"/>
      <c r="U172" s="235"/>
      <c r="V172" s="235"/>
      <c r="W172" s="235"/>
      <c r="X172" s="235"/>
      <c r="Z172" s="30"/>
    </row>
    <row r="173" spans="2:26" ht="16.149999999999999" customHeight="1" thickTop="1" thickBot="1" x14ac:dyDescent="0.25">
      <c r="C173" s="394" t="s">
        <v>486</v>
      </c>
      <c r="D173" s="394"/>
      <c r="E173" s="394"/>
      <c r="F173" s="394"/>
      <c r="G173" s="394"/>
      <c r="H173" s="167"/>
      <c r="I173" s="195" t="str">
        <f>IF(H173="","",IF(H173=80%,"G","R"))</f>
        <v/>
      </c>
      <c r="J173" s="32"/>
      <c r="K173" s="28"/>
      <c r="L173" s="29"/>
      <c r="P173" s="235"/>
      <c r="Q173" s="235"/>
      <c r="R173" s="235"/>
      <c r="S173" s="235"/>
      <c r="T173" s="235"/>
      <c r="U173" s="235"/>
      <c r="V173" s="235"/>
      <c r="W173" s="235"/>
      <c r="X173" s="235"/>
      <c r="Z173" s="30"/>
    </row>
    <row r="174" spans="2:26" ht="16.149999999999999" customHeight="1" thickTop="1" thickBot="1" x14ac:dyDescent="0.25">
      <c r="I174" s="195"/>
      <c r="J174" s="32"/>
      <c r="K174" s="28"/>
      <c r="L174" s="29"/>
      <c r="P174" s="235"/>
      <c r="Q174" s="235"/>
      <c r="R174" s="235"/>
      <c r="S174" s="235"/>
      <c r="T174" s="235"/>
      <c r="U174" s="235"/>
      <c r="V174" s="235"/>
      <c r="W174" s="235"/>
      <c r="X174" s="235"/>
      <c r="Z174" s="30"/>
    </row>
    <row r="175" spans="2:26" ht="16.149999999999999" customHeight="1" thickTop="1" thickBot="1" x14ac:dyDescent="0.25">
      <c r="C175" s="239" t="s">
        <v>517</v>
      </c>
      <c r="D175" s="239"/>
      <c r="E175" s="239"/>
      <c r="F175" s="239"/>
      <c r="G175" s="239"/>
      <c r="H175" s="215"/>
      <c r="I175" s="195" t="str">
        <f>IF(H175="","",IF(H175=30,"G","R"))</f>
        <v/>
      </c>
      <c r="J175" s="32"/>
      <c r="K175" s="28"/>
      <c r="L175" s="29"/>
      <c r="P175" s="235"/>
      <c r="Q175" s="235"/>
      <c r="R175" s="235"/>
      <c r="S175" s="235"/>
      <c r="T175" s="235"/>
      <c r="U175" s="235"/>
      <c r="V175" s="235"/>
      <c r="W175" s="235"/>
      <c r="X175" s="235"/>
      <c r="Z175" s="30"/>
    </row>
    <row r="176" spans="2:26" ht="16.149999999999999" customHeight="1" x14ac:dyDescent="0.2">
      <c r="C176" s="435"/>
      <c r="D176" s="435"/>
      <c r="E176" s="435"/>
      <c r="F176" s="435"/>
      <c r="G176" s="435"/>
      <c r="H176" s="216"/>
      <c r="I176" s="194"/>
      <c r="J176" s="243" t="str">
        <f>IF(K176="","",IF(K176=30,"ΟΥΑΟΥ!..","ΧΜ!.."))</f>
        <v/>
      </c>
      <c r="K176" s="203" t="str">
        <f>IF(OR(I167="",I169="",I171="",I173="",I175=""),"",SUM(E179:I179))</f>
        <v/>
      </c>
      <c r="L176" s="29"/>
      <c r="O176" s="311">
        <v>30</v>
      </c>
      <c r="P176" s="235"/>
      <c r="Q176" s="235"/>
      <c r="R176" s="235"/>
      <c r="S176" s="235"/>
      <c r="T176" s="235"/>
      <c r="U176" s="235"/>
      <c r="V176" s="235"/>
      <c r="W176" s="235"/>
      <c r="X176" s="235"/>
      <c r="Z176" s="30"/>
    </row>
    <row r="177" spans="1:26" ht="16.149999999999999" customHeight="1" thickBot="1" x14ac:dyDescent="0.25">
      <c r="C177" s="240"/>
      <c r="D177" s="240"/>
      <c r="E177" s="240"/>
      <c r="F177" s="240"/>
      <c r="G177" s="240"/>
      <c r="H177" s="217"/>
      <c r="I177" s="194"/>
      <c r="J177" s="244"/>
      <c r="K177" s="204"/>
      <c r="L177" s="29"/>
      <c r="O177" s="311"/>
      <c r="P177" s="235"/>
      <c r="Q177" s="235"/>
      <c r="R177" s="235"/>
      <c r="S177" s="235"/>
      <c r="T177" s="235"/>
      <c r="U177" s="235"/>
      <c r="V177" s="235"/>
      <c r="W177" s="235"/>
      <c r="X177" s="235"/>
      <c r="Z177" s="30"/>
    </row>
    <row r="178" spans="1:26" ht="16.149999999999999" customHeight="1" thickTop="1" x14ac:dyDescent="0.2">
      <c r="I178" s="7"/>
      <c r="J178" s="32"/>
      <c r="K178" s="28"/>
      <c r="L178" s="29"/>
      <c r="P178" s="235"/>
      <c r="Q178" s="235"/>
      <c r="R178" s="235"/>
      <c r="S178" s="235"/>
      <c r="T178" s="235"/>
      <c r="U178" s="235"/>
      <c r="V178" s="235"/>
      <c r="W178" s="235"/>
      <c r="X178" s="235"/>
      <c r="Z178" s="30"/>
    </row>
    <row r="179" spans="1:26" ht="13.9" customHeight="1" x14ac:dyDescent="0.2">
      <c r="E179" s="12" t="str">
        <f>IF(I167&lt;&gt;"G","",5)</f>
        <v/>
      </c>
      <c r="F179" s="12" t="str">
        <f>IF(I169&lt;&gt;"G","",3)</f>
        <v/>
      </c>
      <c r="G179" s="12" t="str">
        <f>IF(OR(G3&lt;&gt;"Επιμέλεια: Τουκμενίδης Μηνάς",I171&lt;&gt;"G"),"",10)</f>
        <v/>
      </c>
      <c r="H179" s="12" t="str">
        <f>IF(I173&lt;&gt;"G","",2)</f>
        <v/>
      </c>
      <c r="I179" s="13" t="str">
        <f>IF(I175&lt;&gt;"G","",10)</f>
        <v/>
      </c>
      <c r="J179" s="28"/>
      <c r="K179" s="28"/>
      <c r="L179" s="29"/>
      <c r="Z179" s="30"/>
    </row>
    <row r="180" spans="1:26" ht="13.9" customHeight="1" x14ac:dyDescent="0.2">
      <c r="A180" s="40"/>
      <c r="B180" s="40"/>
      <c r="C180" s="40"/>
      <c r="D180" s="40"/>
      <c r="E180" s="40"/>
      <c r="F180" s="40"/>
      <c r="G180" s="40"/>
      <c r="H180" s="40"/>
      <c r="I180" s="40"/>
      <c r="J180" s="28"/>
      <c r="K180" s="28"/>
      <c r="L180" s="29"/>
      <c r="Q180" s="255" t="s">
        <v>36</v>
      </c>
      <c r="R180" s="255"/>
      <c r="S180" s="256" t="s">
        <v>313</v>
      </c>
      <c r="T180" s="257" t="s">
        <v>371</v>
      </c>
      <c r="U180" s="258"/>
      <c r="Z180" s="30"/>
    </row>
    <row r="181" spans="1:26" ht="13.9" customHeight="1" x14ac:dyDescent="0.2">
      <c r="A181" s="7"/>
      <c r="B181" s="42"/>
      <c r="C181" s="7"/>
      <c r="D181" s="7"/>
      <c r="E181" s="7"/>
      <c r="F181" s="7"/>
      <c r="G181" s="7"/>
      <c r="H181" s="7"/>
      <c r="I181" s="7"/>
      <c r="J181" s="32"/>
      <c r="K181" s="28"/>
      <c r="L181" s="29"/>
      <c r="Q181" s="255"/>
      <c r="R181" s="255"/>
      <c r="S181" s="256"/>
      <c r="T181" s="258"/>
      <c r="U181" s="258"/>
      <c r="Z181" s="30"/>
    </row>
    <row r="182" spans="1:26" ht="16.149999999999999" customHeight="1" x14ac:dyDescent="0.3">
      <c r="A182" s="7"/>
      <c r="B182" s="35" t="s">
        <v>341</v>
      </c>
      <c r="C182" s="46"/>
      <c r="D182" s="190" t="s">
        <v>229</v>
      </c>
      <c r="E182" s="50" t="s">
        <v>368</v>
      </c>
      <c r="F182" s="187" t="s">
        <v>230</v>
      </c>
      <c r="G182" s="69" t="s">
        <v>351</v>
      </c>
      <c r="H182" s="191" t="s">
        <v>226</v>
      </c>
      <c r="I182" s="52"/>
      <c r="J182" s="32"/>
      <c r="K182" s="28"/>
      <c r="L182" s="29"/>
      <c r="P182" s="235" t="s">
        <v>270</v>
      </c>
      <c r="Q182" s="235"/>
      <c r="R182" s="235"/>
      <c r="S182" s="235"/>
      <c r="T182" s="235"/>
      <c r="U182" s="235"/>
      <c r="V182" s="235"/>
      <c r="W182" s="235"/>
      <c r="Z182" s="30"/>
    </row>
    <row r="183" spans="1:26" ht="13.9" customHeight="1" thickBot="1" x14ac:dyDescent="0.25">
      <c r="I183" s="7"/>
      <c r="J183" s="32"/>
      <c r="K183" s="28"/>
      <c r="L183" s="29"/>
      <c r="Q183" s="255" t="s">
        <v>271</v>
      </c>
      <c r="R183" s="255"/>
      <c r="S183" s="256" t="s">
        <v>313</v>
      </c>
      <c r="T183" s="258" t="s">
        <v>272</v>
      </c>
      <c r="U183" s="258"/>
      <c r="Z183" s="30"/>
    </row>
    <row r="184" spans="1:26" ht="13.9" customHeight="1" thickTop="1" thickBot="1" x14ac:dyDescent="0.25">
      <c r="B184" s="62" t="s">
        <v>376</v>
      </c>
      <c r="C184" s="66" t="s">
        <v>369</v>
      </c>
      <c r="D184" s="64" t="s">
        <v>374</v>
      </c>
      <c r="E184" s="213" t="s">
        <v>368</v>
      </c>
      <c r="F184" s="65"/>
      <c r="G184" s="214" t="s">
        <v>351</v>
      </c>
      <c r="H184" s="440"/>
      <c r="I184" s="7"/>
      <c r="J184" s="32"/>
      <c r="K184" s="28"/>
      <c r="L184" s="29"/>
      <c r="Q184" s="255"/>
      <c r="R184" s="255"/>
      <c r="S184" s="256"/>
      <c r="T184" s="258"/>
      <c r="U184" s="258"/>
      <c r="Z184" s="30"/>
    </row>
    <row r="185" spans="1:26" ht="13.9" customHeight="1" thickTop="1" thickBot="1" x14ac:dyDescent="0.25">
      <c r="B185" s="480" t="s">
        <v>198</v>
      </c>
      <c r="C185" s="66" t="s">
        <v>372</v>
      </c>
      <c r="D185" s="165"/>
      <c r="E185" s="213"/>
      <c r="F185" s="71"/>
      <c r="G185" s="214"/>
      <c r="H185" s="441"/>
      <c r="I185" s="7"/>
      <c r="J185" s="32"/>
      <c r="K185" s="28"/>
      <c r="L185" s="29"/>
      <c r="Z185" s="30"/>
    </row>
    <row r="186" spans="1:26" ht="13.9" customHeight="1" thickTop="1" thickBot="1" x14ac:dyDescent="0.25">
      <c r="B186" s="480"/>
      <c r="C186" s="66" t="s">
        <v>370</v>
      </c>
      <c r="D186" s="72"/>
      <c r="E186" s="213"/>
      <c r="F186" s="165"/>
      <c r="G186" s="214"/>
      <c r="H186" s="165"/>
      <c r="I186" s="26" t="str">
        <f>IF(OR(D185="",F186="",H186=""),"",IF(AND(D185="3mol",F186="3mol",H186="3mol"),"G","R"))</f>
        <v/>
      </c>
      <c r="J186" s="32"/>
      <c r="K186" s="28"/>
      <c r="L186" s="29"/>
      <c r="Z186" s="30"/>
    </row>
    <row r="187" spans="1:26" ht="13.9" customHeight="1" thickTop="1" thickBot="1" x14ac:dyDescent="0.25">
      <c r="B187" s="62" t="s">
        <v>376</v>
      </c>
      <c r="C187" s="73" t="s">
        <v>371</v>
      </c>
      <c r="D187" s="165"/>
      <c r="E187" s="213"/>
      <c r="F187" s="165"/>
      <c r="G187" s="214"/>
      <c r="H187" s="165"/>
      <c r="I187" s="26" t="str">
        <f>IF(OR(D187="",F187="",H187=""),"",IF(AND(D187="1mol",F187="3mol",H187="3mol"),"G","R"))</f>
        <v/>
      </c>
      <c r="J187" s="32"/>
      <c r="K187" s="28"/>
      <c r="L187" s="29"/>
      <c r="P187" s="252" t="s">
        <v>427</v>
      </c>
      <c r="Q187" s="252"/>
      <c r="R187" s="252"/>
      <c r="S187" s="252"/>
      <c r="T187" s="252"/>
      <c r="U187" s="252"/>
      <c r="V187" s="252"/>
      <c r="W187" s="252"/>
      <c r="X187" s="252"/>
      <c r="Z187" s="30"/>
    </row>
    <row r="188" spans="1:26" ht="13.9" customHeight="1" thickTop="1" x14ac:dyDescent="0.2">
      <c r="I188" s="7"/>
      <c r="J188" s="32"/>
      <c r="K188" s="28"/>
      <c r="L188" s="29"/>
      <c r="P188" s="252"/>
      <c r="Q188" s="252"/>
      <c r="R188" s="252"/>
      <c r="S188" s="252"/>
      <c r="T188" s="252"/>
      <c r="U188" s="252"/>
      <c r="V188" s="252"/>
      <c r="W188" s="252"/>
      <c r="X188" s="252"/>
      <c r="Z188" s="30"/>
    </row>
    <row r="189" spans="1:26" ht="13.9" customHeight="1" x14ac:dyDescent="0.2">
      <c r="C189" s="245" t="s">
        <v>70</v>
      </c>
      <c r="D189" s="245"/>
      <c r="E189" s="245"/>
      <c r="F189" s="245"/>
      <c r="G189" s="245"/>
      <c r="H189" s="245"/>
      <c r="I189" s="7"/>
      <c r="J189" s="32"/>
      <c r="K189" s="28"/>
      <c r="L189" s="29"/>
      <c r="R189" s="253" t="s">
        <v>428</v>
      </c>
      <c r="S189" s="253"/>
      <c r="T189" s="253"/>
      <c r="U189" s="253"/>
      <c r="Z189" s="30"/>
    </row>
    <row r="190" spans="1:26" ht="13.9" customHeight="1" x14ac:dyDescent="0.2">
      <c r="C190" s="245"/>
      <c r="D190" s="245"/>
      <c r="E190" s="245"/>
      <c r="F190" s="245"/>
      <c r="G190" s="245"/>
      <c r="H190" s="245"/>
      <c r="I190" s="7"/>
      <c r="J190" s="32"/>
      <c r="K190" s="28"/>
      <c r="L190" s="29"/>
      <c r="R190" s="253"/>
      <c r="S190" s="253"/>
      <c r="T190" s="253"/>
      <c r="U190" s="253"/>
      <c r="Z190" s="30"/>
    </row>
    <row r="191" spans="1:26" ht="13.9" customHeight="1" thickBot="1" x14ac:dyDescent="0.25">
      <c r="I191" s="7"/>
      <c r="J191" s="32"/>
      <c r="K191" s="28"/>
      <c r="L191" s="29"/>
      <c r="P191" s="254" t="s">
        <v>429</v>
      </c>
      <c r="Q191" s="254"/>
      <c r="R191" s="254"/>
      <c r="S191" s="254"/>
      <c r="T191" s="254"/>
      <c r="U191" s="254"/>
      <c r="V191" s="254"/>
      <c r="W191" s="254"/>
      <c r="X191" s="254"/>
      <c r="Z191" s="30"/>
    </row>
    <row r="192" spans="1:26" ht="13.9" customHeight="1" thickTop="1" thickBot="1" x14ac:dyDescent="0.25">
      <c r="C192" s="394" t="s">
        <v>332</v>
      </c>
      <c r="D192" s="394"/>
      <c r="E192" s="394"/>
      <c r="F192" s="394"/>
      <c r="G192" s="394"/>
      <c r="H192" s="166"/>
      <c r="I192" s="26" t="str">
        <f>IF(H192="","",IF(H192=0.75,"G","R"))</f>
        <v/>
      </c>
      <c r="J192" s="32"/>
      <c r="K192" s="28"/>
      <c r="L192" s="29"/>
      <c r="P192" s="259" t="s">
        <v>518</v>
      </c>
      <c r="Q192" s="259"/>
      <c r="R192" s="259"/>
      <c r="S192" s="259"/>
      <c r="T192" s="259"/>
      <c r="U192" s="259"/>
      <c r="V192" s="259"/>
      <c r="W192" s="259"/>
      <c r="X192" s="259"/>
      <c r="Z192" s="30"/>
    </row>
    <row r="193" spans="1:26" ht="13.9" customHeight="1" thickTop="1" thickBot="1" x14ac:dyDescent="0.25">
      <c r="I193" s="7"/>
      <c r="J193" s="32"/>
      <c r="K193" s="28"/>
      <c r="L193" s="29"/>
      <c r="P193" s="259"/>
      <c r="Q193" s="259"/>
      <c r="R193" s="259"/>
      <c r="S193" s="259"/>
      <c r="T193" s="259"/>
      <c r="U193" s="259"/>
      <c r="V193" s="259"/>
      <c r="W193" s="259"/>
      <c r="X193" s="259"/>
      <c r="Z193" s="30"/>
    </row>
    <row r="194" spans="1:26" ht="13.9" customHeight="1" thickTop="1" thickBot="1" x14ac:dyDescent="0.25">
      <c r="C194" s="394" t="s">
        <v>333</v>
      </c>
      <c r="D194" s="394"/>
      <c r="E194" s="394"/>
      <c r="F194" s="394"/>
      <c r="G194" s="394"/>
      <c r="H194" s="167"/>
      <c r="I194" s="26" t="str">
        <f>IF(H194="","",IF(H194=75%,"G","R"))</f>
        <v/>
      </c>
      <c r="J194" s="32"/>
      <c r="K194" s="28"/>
      <c r="L194" s="29"/>
      <c r="P194" s="259"/>
      <c r="Q194" s="259"/>
      <c r="R194" s="259"/>
      <c r="S194" s="259"/>
      <c r="T194" s="259"/>
      <c r="U194" s="259"/>
      <c r="V194" s="259"/>
      <c r="W194" s="259"/>
      <c r="X194" s="259"/>
      <c r="Z194" s="30"/>
    </row>
    <row r="195" spans="1:26" ht="13.9" customHeight="1" thickTop="1" thickBot="1" x14ac:dyDescent="0.25">
      <c r="I195" s="7"/>
      <c r="J195" s="32"/>
      <c r="K195" s="28"/>
      <c r="L195" s="29"/>
      <c r="P195" s="259"/>
      <c r="Q195" s="259"/>
      <c r="R195" s="259"/>
      <c r="S195" s="259"/>
      <c r="T195" s="259"/>
      <c r="U195" s="259"/>
      <c r="V195" s="259"/>
      <c r="W195" s="259"/>
      <c r="X195" s="259"/>
      <c r="Z195" s="30"/>
    </row>
    <row r="196" spans="1:26" ht="16.149999999999999" customHeight="1" thickTop="1" thickBot="1" x14ac:dyDescent="0.25">
      <c r="C196" s="239" t="s">
        <v>59</v>
      </c>
      <c r="D196" s="239"/>
      <c r="E196" s="239"/>
      <c r="F196" s="239"/>
      <c r="G196" s="239"/>
      <c r="H196" s="215"/>
      <c r="I196" s="26" t="str">
        <f>IF(H196="","",IF(H196=1,"G","R"))</f>
        <v/>
      </c>
      <c r="J196" s="32"/>
      <c r="K196" s="28"/>
      <c r="L196" s="29"/>
      <c r="P196" s="259"/>
      <c r="Q196" s="259"/>
      <c r="R196" s="259"/>
      <c r="S196" s="259"/>
      <c r="T196" s="259"/>
      <c r="U196" s="259"/>
      <c r="V196" s="259"/>
      <c r="W196" s="259"/>
      <c r="X196" s="259"/>
      <c r="Z196" s="30"/>
    </row>
    <row r="197" spans="1:26" ht="16.149999999999999" customHeight="1" x14ac:dyDescent="0.2">
      <c r="C197" s="435"/>
      <c r="D197" s="435"/>
      <c r="E197" s="435"/>
      <c r="F197" s="435"/>
      <c r="G197" s="435"/>
      <c r="H197" s="216"/>
      <c r="I197" s="43"/>
      <c r="J197" s="201" t="str">
        <f>IF(K197="","",IF(K197=25,O17,O24))</f>
        <v/>
      </c>
      <c r="K197" s="203" t="str">
        <f>IF(OR(I186="",I187="",I192="",I194="",I196=""),"",SUM(E200:I200))</f>
        <v/>
      </c>
      <c r="L197" s="29"/>
      <c r="O197" s="311">
        <v>25</v>
      </c>
      <c r="Z197" s="30"/>
    </row>
    <row r="198" spans="1:26" ht="16.149999999999999" customHeight="1" thickBot="1" x14ac:dyDescent="0.25">
      <c r="C198" s="240"/>
      <c r="D198" s="240"/>
      <c r="E198" s="240"/>
      <c r="F198" s="240"/>
      <c r="G198" s="240"/>
      <c r="H198" s="217"/>
      <c r="I198" s="43"/>
      <c r="J198" s="202"/>
      <c r="K198" s="204"/>
      <c r="L198" s="29"/>
      <c r="O198" s="311"/>
      <c r="P198" s="260" t="s">
        <v>139</v>
      </c>
      <c r="Q198" s="260"/>
      <c r="R198" s="260"/>
      <c r="S198" s="260"/>
      <c r="T198" s="260"/>
      <c r="U198" s="260"/>
      <c r="V198" s="260"/>
      <c r="W198" s="260"/>
      <c r="X198" s="260"/>
      <c r="Z198" s="30"/>
    </row>
    <row r="199" spans="1:26" ht="13.9" customHeight="1" thickTop="1" x14ac:dyDescent="0.2">
      <c r="I199" s="7"/>
      <c r="J199" s="32"/>
      <c r="K199" s="28"/>
      <c r="L199" s="29"/>
      <c r="Z199" s="30"/>
    </row>
    <row r="200" spans="1:26" ht="13.9" customHeight="1" x14ac:dyDescent="0.2">
      <c r="A200" s="40"/>
      <c r="B200" s="40"/>
      <c r="C200" s="40"/>
      <c r="D200" s="40"/>
      <c r="E200" s="45" t="str">
        <f>IF(I186&lt;&gt;"G","",5)</f>
        <v/>
      </c>
      <c r="F200" s="45" t="str">
        <f>IF(I187&lt;&gt;"G","",3)</f>
        <v/>
      </c>
      <c r="G200" s="45" t="str">
        <f>IF(I192&lt;&gt;"G","",10)</f>
        <v/>
      </c>
      <c r="H200" s="45" t="str">
        <f>IF(I194&lt;&gt;"G","",2)</f>
        <v/>
      </c>
      <c r="I200" s="45" t="str">
        <f>IF(I196&lt;&gt;"G","",5)</f>
        <v/>
      </c>
      <c r="J200" s="28"/>
      <c r="K200" s="28"/>
      <c r="L200" s="29"/>
      <c r="Z200" s="30"/>
    </row>
    <row r="201" spans="1:26" ht="13.9" customHeight="1" x14ac:dyDescent="0.2">
      <c r="A201" s="7"/>
      <c r="B201" s="42"/>
      <c r="C201" s="7"/>
      <c r="D201" s="7"/>
      <c r="E201" s="7"/>
      <c r="F201" s="7"/>
      <c r="G201" s="7"/>
      <c r="H201" s="7"/>
      <c r="I201" s="7"/>
      <c r="J201" s="32"/>
      <c r="K201" s="28"/>
      <c r="L201" s="29"/>
      <c r="Z201" s="30"/>
    </row>
    <row r="202" spans="1:26" ht="16.149999999999999" customHeight="1" x14ac:dyDescent="0.25">
      <c r="A202" s="7"/>
      <c r="B202" s="35" t="s">
        <v>342</v>
      </c>
      <c r="C202" s="46"/>
      <c r="D202" s="55" t="s">
        <v>68</v>
      </c>
      <c r="E202" s="74" t="s">
        <v>351</v>
      </c>
      <c r="F202" s="49" t="s">
        <v>227</v>
      </c>
      <c r="G202" s="50" t="s">
        <v>368</v>
      </c>
      <c r="H202" s="51" t="s">
        <v>69</v>
      </c>
      <c r="I202" s="52"/>
      <c r="J202" s="32"/>
      <c r="K202" s="28"/>
      <c r="L202" s="29"/>
      <c r="Z202" s="30"/>
    </row>
    <row r="203" spans="1:26" ht="13.9" customHeight="1" thickBot="1" x14ac:dyDescent="0.25">
      <c r="I203" s="7"/>
      <c r="J203" s="32"/>
      <c r="K203" s="28"/>
      <c r="L203" s="29"/>
      <c r="Z203" s="30"/>
    </row>
    <row r="204" spans="1:26" ht="13.9" customHeight="1" thickTop="1" thickBot="1" x14ac:dyDescent="0.25">
      <c r="B204" s="62" t="s">
        <v>382</v>
      </c>
      <c r="C204" s="66" t="s">
        <v>307</v>
      </c>
      <c r="D204" s="64" t="s">
        <v>379</v>
      </c>
      <c r="E204" s="214" t="s">
        <v>351</v>
      </c>
      <c r="F204" s="64" t="s">
        <v>379</v>
      </c>
      <c r="G204" s="213" t="s">
        <v>368</v>
      </c>
      <c r="H204" s="65"/>
      <c r="I204" s="7"/>
      <c r="J204" s="32"/>
      <c r="K204" s="28"/>
      <c r="L204" s="29"/>
      <c r="Z204" s="30"/>
    </row>
    <row r="205" spans="1:26" ht="13.9" customHeight="1" thickTop="1" thickBot="1" x14ac:dyDescent="0.25">
      <c r="B205" s="480" t="s">
        <v>198</v>
      </c>
      <c r="C205" s="66" t="s">
        <v>372</v>
      </c>
      <c r="D205" s="64" t="s">
        <v>380</v>
      </c>
      <c r="E205" s="214"/>
      <c r="F205" s="165"/>
      <c r="G205" s="213"/>
      <c r="H205" s="75"/>
      <c r="I205" s="7"/>
      <c r="J205" s="32"/>
      <c r="K205" s="28"/>
      <c r="L205" s="29"/>
      <c r="P205" s="260" t="s">
        <v>489</v>
      </c>
      <c r="Q205" s="260"/>
      <c r="R205" s="260"/>
      <c r="S205" s="260"/>
      <c r="T205" s="260"/>
      <c r="U205" s="260"/>
      <c r="V205" s="260"/>
      <c r="W205" s="260"/>
      <c r="X205" s="260"/>
      <c r="Z205" s="30"/>
    </row>
    <row r="206" spans="1:26" ht="13.9" customHeight="1" thickTop="1" thickBot="1" x14ac:dyDescent="0.25">
      <c r="A206" s="25" t="str">
        <f>IF(OR(F205="",H206=""),"",IF(AND(F205="xmol",H206="2xmol"),"G","R"))</f>
        <v/>
      </c>
      <c r="B206" s="480"/>
      <c r="C206" s="66" t="s">
        <v>370</v>
      </c>
      <c r="D206" s="72"/>
      <c r="E206" s="214"/>
      <c r="F206" s="76"/>
      <c r="G206" s="213"/>
      <c r="H206" s="165"/>
      <c r="I206" s="7"/>
      <c r="J206" s="32"/>
      <c r="K206" s="28"/>
      <c r="L206" s="29"/>
      <c r="R206" s="253" t="s">
        <v>430</v>
      </c>
      <c r="S206" s="253"/>
      <c r="T206" s="253"/>
      <c r="U206" s="253"/>
      <c r="Z206" s="30"/>
    </row>
    <row r="207" spans="1:26" ht="13.9" customHeight="1" thickTop="1" thickBot="1" x14ac:dyDescent="0.25">
      <c r="A207" s="25" t="str">
        <f>IF(OR(D207="",F207="",H207=""),"",IF(AND(OR(F207="(n-x)mol",F207="(n–x)mol"),H207="2xmol",OR(D207="(n-2x)mol",D207="(n–2x)mol")),"G","R"))</f>
        <v/>
      </c>
      <c r="B207" s="62" t="s">
        <v>382</v>
      </c>
      <c r="C207" s="73" t="s">
        <v>371</v>
      </c>
      <c r="D207" s="146"/>
      <c r="E207" s="214"/>
      <c r="F207" s="165"/>
      <c r="G207" s="213"/>
      <c r="H207" s="165"/>
      <c r="I207" s="7"/>
      <c r="J207" s="32"/>
      <c r="K207" s="28"/>
      <c r="L207" s="29"/>
      <c r="R207" s="253"/>
      <c r="S207" s="253"/>
      <c r="T207" s="253"/>
      <c r="U207" s="253"/>
      <c r="Z207" s="30"/>
    </row>
    <row r="208" spans="1:26" ht="13.9" customHeight="1" thickTop="1" x14ac:dyDescent="0.2">
      <c r="I208" s="7"/>
      <c r="J208" s="32"/>
      <c r="K208" s="28"/>
      <c r="L208" s="29"/>
      <c r="P208" s="251" t="s">
        <v>490</v>
      </c>
      <c r="Q208" s="251"/>
      <c r="R208" s="154" t="s">
        <v>501</v>
      </c>
      <c r="S208" s="153" t="s">
        <v>506</v>
      </c>
      <c r="T208" s="154" t="s">
        <v>498</v>
      </c>
      <c r="Z208" s="30"/>
    </row>
    <row r="209" spans="1:26" ht="13.9" customHeight="1" x14ac:dyDescent="0.2">
      <c r="C209" s="245" t="s">
        <v>71</v>
      </c>
      <c r="D209" s="245"/>
      <c r="E209" s="245"/>
      <c r="F209" s="245"/>
      <c r="G209" s="245"/>
      <c r="H209" s="245"/>
      <c r="I209" s="7"/>
      <c r="J209" s="32"/>
      <c r="K209" s="28"/>
      <c r="L209" s="29"/>
      <c r="P209" s="263" t="s">
        <v>491</v>
      </c>
      <c r="Q209" s="263"/>
      <c r="R209" s="77" t="s">
        <v>502</v>
      </c>
      <c r="S209" s="41"/>
      <c r="T209" s="77" t="s">
        <v>496</v>
      </c>
      <c r="Z209" s="30"/>
    </row>
    <row r="210" spans="1:26" ht="13.9" customHeight="1" x14ac:dyDescent="0.2">
      <c r="C210" s="245"/>
      <c r="D210" s="245"/>
      <c r="E210" s="245"/>
      <c r="F210" s="245"/>
      <c r="G210" s="245"/>
      <c r="H210" s="245"/>
      <c r="I210" s="7"/>
      <c r="J210" s="32"/>
      <c r="K210" s="28"/>
      <c r="L210" s="29"/>
      <c r="P210" s="496" t="s">
        <v>492</v>
      </c>
      <c r="Q210" s="496"/>
      <c r="R210" s="151" t="s">
        <v>503</v>
      </c>
      <c r="S210" s="152" t="s">
        <v>506</v>
      </c>
      <c r="T210" s="151" t="s">
        <v>497</v>
      </c>
      <c r="U210" s="78" t="s">
        <v>313</v>
      </c>
      <c r="Z210" s="30"/>
    </row>
    <row r="211" spans="1:26" ht="13.9" customHeight="1" x14ac:dyDescent="0.2">
      <c r="I211" s="7"/>
      <c r="J211" s="32"/>
      <c r="K211" s="28"/>
      <c r="L211" s="29"/>
      <c r="P211" s="263" t="s">
        <v>493</v>
      </c>
      <c r="Q211" s="263"/>
      <c r="R211" s="41" t="s">
        <v>504</v>
      </c>
      <c r="S211" s="41" t="s">
        <v>0</v>
      </c>
      <c r="T211" s="1"/>
      <c r="U211" s="261" t="s">
        <v>211</v>
      </c>
      <c r="V211" s="261"/>
      <c r="Z211" s="30"/>
    </row>
    <row r="212" spans="1:26" ht="13.9" customHeight="1" x14ac:dyDescent="0.2">
      <c r="C212" s="245" t="s">
        <v>72</v>
      </c>
      <c r="D212" s="245"/>
      <c r="E212" s="245"/>
      <c r="F212" s="245"/>
      <c r="G212" s="245"/>
      <c r="H212" s="245"/>
      <c r="I212" s="7"/>
      <c r="J212" s="32"/>
      <c r="K212" s="28"/>
      <c r="L212" s="29"/>
      <c r="P212" s="263" t="s">
        <v>494</v>
      </c>
      <c r="Q212" s="263"/>
      <c r="R212" s="1"/>
      <c r="S212" s="1"/>
      <c r="T212" s="262" t="s">
        <v>499</v>
      </c>
      <c r="U212" s="262"/>
      <c r="Z212" s="30"/>
    </row>
    <row r="213" spans="1:26" ht="13.9" customHeight="1" x14ac:dyDescent="0.2">
      <c r="C213" s="245"/>
      <c r="D213" s="245"/>
      <c r="E213" s="245"/>
      <c r="F213" s="245"/>
      <c r="G213" s="245"/>
      <c r="H213" s="245"/>
      <c r="I213" s="7"/>
      <c r="J213" s="32"/>
      <c r="K213" s="28"/>
      <c r="L213" s="29"/>
      <c r="P213" s="251" t="s">
        <v>495</v>
      </c>
      <c r="Q213" s="251"/>
      <c r="R213" s="153" t="s">
        <v>505</v>
      </c>
      <c r="S213" s="153" t="s">
        <v>500</v>
      </c>
      <c r="T213" s="495" t="s">
        <v>1</v>
      </c>
      <c r="U213" s="495"/>
      <c r="Z213" s="30"/>
    </row>
    <row r="214" spans="1:26" ht="13.9" customHeight="1" thickBot="1" x14ac:dyDescent="0.25">
      <c r="I214" s="7"/>
      <c r="J214" s="32"/>
      <c r="K214" s="28"/>
      <c r="L214" s="29"/>
      <c r="P214" s="494"/>
      <c r="Q214" s="235" t="s">
        <v>140</v>
      </c>
      <c r="R214" s="235"/>
      <c r="S214" s="235"/>
      <c r="T214" s="235"/>
      <c r="U214" s="235"/>
      <c r="V214" s="235"/>
      <c r="W214" s="235"/>
      <c r="X214" s="235"/>
      <c r="Z214" s="30"/>
    </row>
    <row r="215" spans="1:26" ht="13.9" customHeight="1" thickTop="1" thickBot="1" x14ac:dyDescent="0.25">
      <c r="A215" s="25" t="str">
        <f>IF(H215="","",IF(H215=2/3,"G","R"))</f>
        <v/>
      </c>
      <c r="C215" s="394" t="s">
        <v>485</v>
      </c>
      <c r="D215" s="394"/>
      <c r="E215" s="394"/>
      <c r="F215" s="394"/>
      <c r="G215" s="394"/>
      <c r="H215" s="168"/>
      <c r="I215" s="7"/>
      <c r="J215" s="32"/>
      <c r="K215" s="28"/>
      <c r="L215" s="29"/>
      <c r="P215" s="494"/>
      <c r="Q215" s="235"/>
      <c r="R215" s="235"/>
      <c r="S215" s="235"/>
      <c r="T215" s="235"/>
      <c r="U215" s="235"/>
      <c r="V215" s="235"/>
      <c r="W215" s="235"/>
      <c r="X215" s="235"/>
      <c r="Z215" s="30"/>
    </row>
    <row r="216" spans="1:26" ht="13.9" customHeight="1" thickTop="1" thickBot="1" x14ac:dyDescent="0.25">
      <c r="I216" s="7"/>
      <c r="J216" s="32"/>
      <c r="K216" s="28"/>
      <c r="L216" s="29"/>
      <c r="Q216" s="235"/>
      <c r="R216" s="235"/>
      <c r="S216" s="235"/>
      <c r="T216" s="235"/>
      <c r="U216" s="235"/>
      <c r="V216" s="235"/>
      <c r="W216" s="235"/>
      <c r="X216" s="235"/>
      <c r="Z216" s="30"/>
    </row>
    <row r="217" spans="1:26" ht="13.9" customHeight="1" thickTop="1" thickBot="1" x14ac:dyDescent="0.25">
      <c r="A217" s="25" t="str">
        <f>IF(H217="","",IF(OR(H217=66.7%,H217=66.6%),"G","R"))</f>
        <v/>
      </c>
      <c r="C217" s="394" t="s">
        <v>486</v>
      </c>
      <c r="D217" s="394"/>
      <c r="E217" s="394"/>
      <c r="F217" s="394"/>
      <c r="G217" s="394"/>
      <c r="H217" s="169"/>
      <c r="I217" s="7"/>
      <c r="J217" s="32"/>
      <c r="K217" s="28"/>
      <c r="L217" s="29"/>
      <c r="Q217" s="235" t="s">
        <v>141</v>
      </c>
      <c r="R217" s="235"/>
      <c r="S217" s="235"/>
      <c r="T217" s="235"/>
      <c r="U217" s="235"/>
      <c r="V217" s="235"/>
      <c r="W217" s="235"/>
      <c r="X217" s="235"/>
      <c r="Z217" s="30"/>
    </row>
    <row r="218" spans="1:26" ht="13.9" customHeight="1" thickTop="1" thickBot="1" x14ac:dyDescent="0.25">
      <c r="I218" s="7"/>
      <c r="J218" s="32"/>
      <c r="K218" s="28"/>
      <c r="L218" s="29"/>
      <c r="Q218" s="235"/>
      <c r="R218" s="235"/>
      <c r="S218" s="235"/>
      <c r="T218" s="235"/>
      <c r="U218" s="235"/>
      <c r="V218" s="235"/>
      <c r="W218" s="235"/>
      <c r="X218" s="235"/>
      <c r="Z218" s="30"/>
    </row>
    <row r="219" spans="1:26" ht="15" customHeight="1" thickTop="1" thickBot="1" x14ac:dyDescent="0.25">
      <c r="C219" s="221" t="s">
        <v>73</v>
      </c>
      <c r="D219" s="221"/>
      <c r="E219" s="221"/>
      <c r="F219" s="221"/>
      <c r="G219" s="221"/>
      <c r="H219" s="7"/>
      <c r="I219" s="7"/>
      <c r="J219" s="32"/>
      <c r="K219" s="28"/>
      <c r="L219" s="29"/>
      <c r="Z219" s="30"/>
    </row>
    <row r="220" spans="1:26" ht="15" customHeight="1" thickTop="1" x14ac:dyDescent="0.2">
      <c r="A220" s="25" t="str">
        <f>IF(H220="","",IF(H220=60,"G","R"))</f>
        <v/>
      </c>
      <c r="C220" s="439"/>
      <c r="D220" s="439"/>
      <c r="E220" s="439"/>
      <c r="F220" s="439"/>
      <c r="G220" s="439"/>
      <c r="H220" s="215"/>
      <c r="I220" s="7"/>
      <c r="J220" s="32"/>
      <c r="K220" s="28"/>
      <c r="L220" s="29"/>
      <c r="Z220" s="30"/>
    </row>
    <row r="221" spans="1:26" ht="15" customHeight="1" thickBot="1" x14ac:dyDescent="0.25">
      <c r="C221" s="439"/>
      <c r="D221" s="439"/>
      <c r="E221" s="439"/>
      <c r="F221" s="439"/>
      <c r="G221" s="439"/>
      <c r="H221" s="216"/>
      <c r="I221" s="7"/>
      <c r="J221" s="32"/>
      <c r="K221" s="28"/>
      <c r="L221" s="29"/>
      <c r="Z221" s="30"/>
    </row>
    <row r="222" spans="1:26" ht="15" customHeight="1" thickBot="1" x14ac:dyDescent="0.25">
      <c r="C222" s="439"/>
      <c r="D222" s="439"/>
      <c r="E222" s="439"/>
      <c r="F222" s="439"/>
      <c r="G222" s="439"/>
      <c r="H222" s="217"/>
      <c r="I222" s="43"/>
      <c r="J222" s="201" t="str">
        <f>IF(K222="","",IF(K222=35,O17,O24))</f>
        <v/>
      </c>
      <c r="K222" s="203" t="str">
        <f>IF(OR(A206="",A207="",A215="",A217="",A220=""),"",SUM(E225:I225))</f>
        <v/>
      </c>
      <c r="L222" s="29"/>
      <c r="O222" s="311">
        <v>35</v>
      </c>
      <c r="Z222" s="30"/>
    </row>
    <row r="223" spans="1:26" ht="15" customHeight="1" thickTop="1" thickBot="1" x14ac:dyDescent="0.25">
      <c r="C223" s="222"/>
      <c r="D223" s="222"/>
      <c r="E223" s="222"/>
      <c r="F223" s="222"/>
      <c r="G223" s="222"/>
      <c r="H223" s="7"/>
      <c r="I223" s="43"/>
      <c r="J223" s="202"/>
      <c r="K223" s="204"/>
      <c r="L223" s="29"/>
      <c r="O223" s="311"/>
      <c r="Z223" s="30"/>
    </row>
    <row r="224" spans="1:26" ht="13.9" customHeight="1" thickTop="1" thickBot="1" x14ac:dyDescent="0.25">
      <c r="C224" s="436" t="s">
        <v>308</v>
      </c>
      <c r="D224" s="437"/>
      <c r="E224" s="437"/>
      <c r="F224" s="437"/>
      <c r="G224" s="438"/>
      <c r="I224" s="7"/>
      <c r="J224" s="32"/>
      <c r="K224" s="28"/>
      <c r="L224" s="29"/>
      <c r="Q224" s="234" t="s">
        <v>142</v>
      </c>
      <c r="R224" s="234"/>
      <c r="S224" s="234"/>
      <c r="T224" s="234"/>
      <c r="U224" s="234"/>
      <c r="V224" s="234"/>
      <c r="W224" s="234"/>
      <c r="X224" s="234"/>
      <c r="Z224" s="30"/>
    </row>
    <row r="225" spans="1:26" ht="13.9" customHeight="1" thickTop="1" x14ac:dyDescent="0.2">
      <c r="E225" s="12" t="str">
        <f>IF(A206&lt;&gt;"G","",3)</f>
        <v/>
      </c>
      <c r="F225" s="12" t="str">
        <f>IF(A207&lt;&gt;"G","",3)</f>
        <v/>
      </c>
      <c r="G225" s="12" t="str">
        <f>IF(A215&lt;&gt;"G","",10)</f>
        <v/>
      </c>
      <c r="H225" s="12" t="str">
        <f>IF(A217&lt;&gt;"G","",4)</f>
        <v/>
      </c>
      <c r="I225" s="15" t="str">
        <f>IF(A220&lt;&gt;"G","",15)</f>
        <v/>
      </c>
      <c r="J225" s="32"/>
      <c r="K225" s="28"/>
      <c r="L225" s="29"/>
      <c r="Q225" s="234"/>
      <c r="R225" s="234"/>
      <c r="S225" s="234"/>
      <c r="T225" s="234"/>
      <c r="U225" s="234"/>
      <c r="V225" s="234"/>
      <c r="W225" s="234"/>
      <c r="X225" s="234"/>
      <c r="Z225" s="30"/>
    </row>
    <row r="226" spans="1:26" ht="13.9" customHeight="1" x14ac:dyDescent="0.2">
      <c r="A226" s="40"/>
      <c r="B226" s="40"/>
      <c r="C226" s="40"/>
      <c r="D226" s="40"/>
      <c r="E226" s="40"/>
      <c r="F226" s="40"/>
      <c r="G226" s="40"/>
      <c r="H226" s="40"/>
      <c r="I226" s="40"/>
      <c r="J226" s="28"/>
      <c r="K226" s="28"/>
      <c r="L226" s="29"/>
      <c r="Q226" s="234"/>
      <c r="R226" s="234"/>
      <c r="S226" s="234"/>
      <c r="T226" s="234"/>
      <c r="U226" s="234"/>
      <c r="V226" s="234"/>
      <c r="W226" s="234"/>
      <c r="X226" s="234"/>
      <c r="Z226" s="30"/>
    </row>
    <row r="227" spans="1:26" ht="13.9" customHeight="1" x14ac:dyDescent="0.2">
      <c r="A227" s="7"/>
      <c r="B227" s="42"/>
      <c r="C227" s="7"/>
      <c r="D227" s="7"/>
      <c r="E227" s="7"/>
      <c r="F227" s="7"/>
      <c r="G227" s="7"/>
      <c r="H227" s="7"/>
      <c r="I227" s="7"/>
      <c r="J227" s="32"/>
      <c r="K227" s="28"/>
      <c r="L227" s="29"/>
      <c r="Q227" s="501" t="s">
        <v>143</v>
      </c>
      <c r="R227" s="501"/>
      <c r="S227" s="256" t="s">
        <v>313</v>
      </c>
      <c r="T227" s="502" t="s">
        <v>378</v>
      </c>
      <c r="U227" s="502"/>
      <c r="Z227" s="30"/>
    </row>
    <row r="228" spans="1:26" ht="16.149999999999999" customHeight="1" x14ac:dyDescent="0.25">
      <c r="A228" s="7"/>
      <c r="B228" s="35" t="s">
        <v>343</v>
      </c>
      <c r="C228" s="46"/>
      <c r="D228" s="47" t="s">
        <v>229</v>
      </c>
      <c r="E228" s="50" t="s">
        <v>368</v>
      </c>
      <c r="F228" s="49" t="s">
        <v>230</v>
      </c>
      <c r="G228" s="74" t="s">
        <v>351</v>
      </c>
      <c r="H228" s="70" t="s">
        <v>226</v>
      </c>
      <c r="I228" s="79"/>
      <c r="J228" s="32"/>
      <c r="K228" s="28"/>
      <c r="L228" s="29"/>
      <c r="Q228" s="501"/>
      <c r="R228" s="501"/>
      <c r="S228" s="256"/>
      <c r="T228" s="502"/>
      <c r="U228" s="502"/>
      <c r="Z228" s="30"/>
    </row>
    <row r="229" spans="1:26" ht="13.9" customHeight="1" thickBot="1" x14ac:dyDescent="0.25">
      <c r="I229" s="7"/>
      <c r="J229" s="32"/>
      <c r="K229" s="28"/>
      <c r="L229" s="29"/>
      <c r="Z229" s="30"/>
    </row>
    <row r="230" spans="1:26" ht="13.9" customHeight="1" thickTop="1" thickBot="1" x14ac:dyDescent="0.3">
      <c r="B230" s="62" t="s">
        <v>382</v>
      </c>
      <c r="C230" s="66" t="s">
        <v>369</v>
      </c>
      <c r="D230" s="64" t="s">
        <v>379</v>
      </c>
      <c r="E230" s="213" t="s">
        <v>368</v>
      </c>
      <c r="F230" s="65"/>
      <c r="G230" s="214" t="s">
        <v>351</v>
      </c>
      <c r="H230" s="65"/>
      <c r="I230" s="205" t="s">
        <v>74</v>
      </c>
      <c r="J230" s="206"/>
      <c r="K230" s="28"/>
      <c r="L230" s="29"/>
      <c r="P230" s="268"/>
      <c r="Q230" s="235" t="s">
        <v>519</v>
      </c>
      <c r="R230" s="235"/>
      <c r="S230" s="235"/>
      <c r="T230" s="235"/>
      <c r="U230" s="235"/>
      <c r="V230" s="235"/>
      <c r="W230" s="235"/>
      <c r="X230" s="235"/>
      <c r="Z230" s="30"/>
    </row>
    <row r="231" spans="1:26" ht="13.9" customHeight="1" thickTop="1" thickBot="1" x14ac:dyDescent="0.25">
      <c r="B231" s="480" t="s">
        <v>198</v>
      </c>
      <c r="C231" s="66" t="s">
        <v>372</v>
      </c>
      <c r="D231" s="64" t="s">
        <v>381</v>
      </c>
      <c r="E231" s="213"/>
      <c r="F231" s="71"/>
      <c r="G231" s="214"/>
      <c r="H231" s="71"/>
      <c r="I231" s="7"/>
      <c r="J231" s="32"/>
      <c r="K231" s="28"/>
      <c r="L231" s="29"/>
      <c r="P231" s="268"/>
      <c r="Q231" s="235"/>
      <c r="R231" s="235"/>
      <c r="S231" s="235"/>
      <c r="T231" s="235"/>
      <c r="U231" s="235"/>
      <c r="V231" s="235"/>
      <c r="W231" s="235"/>
      <c r="X231" s="235"/>
      <c r="Z231" s="30"/>
    </row>
    <row r="232" spans="1:26" ht="13.9" customHeight="1" thickTop="1" thickBot="1" x14ac:dyDescent="0.25">
      <c r="B232" s="480"/>
      <c r="C232" s="66" t="s">
        <v>370</v>
      </c>
      <c r="D232" s="81"/>
      <c r="E232" s="213"/>
      <c r="F232" s="165"/>
      <c r="G232" s="214"/>
      <c r="H232" s="165"/>
      <c r="I232" s="7"/>
      <c r="J232" s="32"/>
      <c r="K232" s="28"/>
      <c r="L232" s="29"/>
      <c r="P232" s="268"/>
      <c r="Q232" s="235"/>
      <c r="R232" s="235"/>
      <c r="S232" s="235"/>
      <c r="T232" s="235"/>
      <c r="U232" s="235"/>
      <c r="V232" s="235"/>
      <c r="W232" s="235"/>
      <c r="X232" s="235"/>
      <c r="Z232" s="30"/>
    </row>
    <row r="233" spans="1:26" ht="13.9" customHeight="1" thickTop="1" thickBot="1" x14ac:dyDescent="0.3">
      <c r="B233" s="62" t="s">
        <v>382</v>
      </c>
      <c r="C233" s="73" t="s">
        <v>371</v>
      </c>
      <c r="D233" s="165"/>
      <c r="E233" s="213"/>
      <c r="F233" s="165"/>
      <c r="G233" s="214"/>
      <c r="H233" s="170"/>
      <c r="I233" s="205" t="s">
        <v>75</v>
      </c>
      <c r="J233" s="206"/>
      <c r="K233" s="28"/>
      <c r="L233" s="29"/>
      <c r="P233" s="260" t="s">
        <v>431</v>
      </c>
      <c r="Q233" s="260"/>
      <c r="R233" s="260"/>
      <c r="S233" s="260"/>
      <c r="T233" s="260"/>
      <c r="U233" s="260"/>
      <c r="V233" s="260"/>
      <c r="W233" s="260"/>
      <c r="X233" s="260"/>
      <c r="Z233" s="30"/>
    </row>
    <row r="234" spans="1:26" ht="13.9" customHeight="1" thickTop="1" x14ac:dyDescent="0.2">
      <c r="I234" s="7"/>
      <c r="J234" s="32"/>
      <c r="K234" s="28"/>
      <c r="L234" s="29"/>
      <c r="Z234" s="30"/>
    </row>
    <row r="235" spans="1:26" ht="13.9" customHeight="1" x14ac:dyDescent="0.2">
      <c r="C235" s="245" t="s">
        <v>76</v>
      </c>
      <c r="D235" s="245"/>
      <c r="E235" s="245"/>
      <c r="F235" s="245"/>
      <c r="G235" s="245"/>
      <c r="H235" s="245"/>
      <c r="I235" s="246"/>
      <c r="J235" s="32"/>
      <c r="K235" s="28"/>
      <c r="L235" s="29"/>
      <c r="Z235" s="30"/>
    </row>
    <row r="236" spans="1:26" ht="13.9" customHeight="1" x14ac:dyDescent="0.2">
      <c r="C236" s="245"/>
      <c r="D236" s="245"/>
      <c r="E236" s="245"/>
      <c r="F236" s="245"/>
      <c r="G236" s="245"/>
      <c r="H236" s="245"/>
      <c r="I236" s="246"/>
      <c r="J236" s="32"/>
      <c r="K236" s="28"/>
      <c r="L236" s="29"/>
      <c r="Z236" s="30"/>
    </row>
    <row r="237" spans="1:26" ht="13.9" customHeight="1" x14ac:dyDescent="0.2">
      <c r="C237" s="245"/>
      <c r="D237" s="245"/>
      <c r="E237" s="245"/>
      <c r="F237" s="245"/>
      <c r="G237" s="245"/>
      <c r="H237" s="245"/>
      <c r="I237" s="246"/>
      <c r="J237" s="32"/>
      <c r="K237" s="28"/>
      <c r="L237" s="29"/>
      <c r="Z237" s="30"/>
    </row>
    <row r="238" spans="1:26" ht="13.9" customHeight="1" x14ac:dyDescent="0.2">
      <c r="C238" s="245"/>
      <c r="D238" s="245"/>
      <c r="E238" s="245"/>
      <c r="F238" s="245"/>
      <c r="G238" s="245"/>
      <c r="H238" s="245"/>
      <c r="I238" s="246"/>
      <c r="J238" s="32"/>
      <c r="K238" s="28"/>
      <c r="L238" s="29"/>
      <c r="Z238" s="30"/>
    </row>
    <row r="239" spans="1:26" ht="13.9" customHeight="1" thickBot="1" x14ac:dyDescent="0.25">
      <c r="I239" s="7"/>
      <c r="J239" s="32"/>
      <c r="K239" s="28"/>
      <c r="L239" s="29"/>
      <c r="P239" s="235" t="s">
        <v>432</v>
      </c>
      <c r="Q239" s="235"/>
      <c r="R239" s="235"/>
      <c r="S239" s="235"/>
      <c r="T239" s="235"/>
      <c r="U239" s="235"/>
      <c r="V239" s="235"/>
      <c r="W239" s="235"/>
      <c r="X239" s="235"/>
      <c r="Z239" s="30"/>
    </row>
    <row r="240" spans="1:26" ht="13.9" customHeight="1" thickTop="1" thickBot="1" x14ac:dyDescent="0.25">
      <c r="C240" s="394" t="s">
        <v>485</v>
      </c>
      <c r="D240" s="394"/>
      <c r="E240" s="394"/>
      <c r="F240" s="394"/>
      <c r="G240" s="394"/>
      <c r="H240" s="165"/>
      <c r="I240" s="7"/>
      <c r="J240" s="32"/>
      <c r="K240" s="28"/>
      <c r="L240" s="29"/>
      <c r="P240" s="235"/>
      <c r="Q240" s="235"/>
      <c r="R240" s="235"/>
      <c r="S240" s="235"/>
      <c r="T240" s="235"/>
      <c r="U240" s="235"/>
      <c r="V240" s="235"/>
      <c r="W240" s="235"/>
      <c r="X240" s="235"/>
      <c r="Z240" s="30"/>
    </row>
    <row r="241" spans="1:26" ht="13.9" customHeight="1" thickTop="1" thickBot="1" x14ac:dyDescent="0.25">
      <c r="I241" s="7"/>
      <c r="J241" s="32"/>
      <c r="K241" s="28"/>
      <c r="L241" s="29"/>
      <c r="P241" s="235"/>
      <c r="Q241" s="235"/>
      <c r="R241" s="235"/>
      <c r="S241" s="235"/>
      <c r="T241" s="235"/>
      <c r="U241" s="235"/>
      <c r="V241" s="235"/>
      <c r="W241" s="235"/>
      <c r="X241" s="235"/>
      <c r="Z241" s="30"/>
    </row>
    <row r="242" spans="1:26" ht="13.9" customHeight="1" thickTop="1" thickBot="1" x14ac:dyDescent="0.25">
      <c r="C242" s="394" t="s">
        <v>486</v>
      </c>
      <c r="D242" s="394"/>
      <c r="E242" s="394"/>
      <c r="F242" s="394"/>
      <c r="G242" s="394"/>
      <c r="H242" s="171"/>
      <c r="I242" s="7"/>
      <c r="J242" s="32"/>
      <c r="K242" s="28"/>
      <c r="L242" s="29"/>
      <c r="P242" s="235"/>
      <c r="Q242" s="235"/>
      <c r="R242" s="235"/>
      <c r="S242" s="235"/>
      <c r="T242" s="235"/>
      <c r="U242" s="235"/>
      <c r="V242" s="235"/>
      <c r="W242" s="235"/>
      <c r="X242" s="235"/>
      <c r="Z242" s="30"/>
    </row>
    <row r="243" spans="1:26" ht="13.9" customHeight="1" thickTop="1" thickBot="1" x14ac:dyDescent="0.25">
      <c r="I243" s="7"/>
      <c r="J243" s="32"/>
      <c r="K243" s="28"/>
      <c r="L243" s="29"/>
      <c r="P243" s="235"/>
      <c r="Q243" s="235"/>
      <c r="R243" s="235"/>
      <c r="S243" s="235"/>
      <c r="T243" s="235"/>
      <c r="U243" s="235"/>
      <c r="V243" s="235"/>
      <c r="W243" s="235"/>
      <c r="X243" s="235"/>
      <c r="Z243" s="30"/>
    </row>
    <row r="244" spans="1:26" ht="16.149999999999999" customHeight="1" thickTop="1" x14ac:dyDescent="0.2">
      <c r="C244" s="418" t="s">
        <v>508</v>
      </c>
      <c r="D244" s="419"/>
      <c r="E244" s="419"/>
      <c r="F244" s="419"/>
      <c r="G244" s="420"/>
      <c r="H244" s="348"/>
      <c r="I244" s="43"/>
      <c r="J244" s="243" t="str">
        <f>IF(K244="","",IF(K244=40,"ΓΙΟΥΠΙ!..","ΟΥΟΥΠΣ!.."))</f>
        <v/>
      </c>
      <c r="K244" s="203" t="str">
        <f>IF(OR(F247="",G247="",H247="",I247=""),"",SUM(F248:I248))</f>
        <v/>
      </c>
      <c r="L244" s="29"/>
      <c r="O244" s="311">
        <v>40</v>
      </c>
      <c r="V244" s="267" t="s">
        <v>311</v>
      </c>
      <c r="Z244" s="30"/>
    </row>
    <row r="245" spans="1:26" ht="16.149999999999999" customHeight="1" thickBot="1" x14ac:dyDescent="0.25">
      <c r="C245" s="421"/>
      <c r="D245" s="422"/>
      <c r="E245" s="422"/>
      <c r="F245" s="422"/>
      <c r="G245" s="423"/>
      <c r="H245" s="349"/>
      <c r="I245" s="43"/>
      <c r="J245" s="244"/>
      <c r="K245" s="204"/>
      <c r="L245" s="29"/>
      <c r="O245" s="311"/>
      <c r="V245" s="267"/>
      <c r="Z245" s="30"/>
    </row>
    <row r="246" spans="1:26" ht="13.9" customHeight="1" thickTop="1" x14ac:dyDescent="0.2">
      <c r="I246" s="7"/>
      <c r="J246" s="32"/>
      <c r="K246" s="28"/>
      <c r="L246" s="29"/>
      <c r="V246" s="267"/>
      <c r="Z246" s="30"/>
    </row>
    <row r="247" spans="1:26" ht="13.9" customHeight="1" x14ac:dyDescent="0.2">
      <c r="F247" s="12" t="str">
        <f>IF(OR(F232="",H232="",D233="",F233="",H233=""),"",IF(AND(F232="xmol",H232="xmol",H233="xmol",F233="xmol",OR(D233="(n-x)mol",D233="(n–x)mol")),"G","R"))</f>
        <v/>
      </c>
      <c r="G247" s="12" t="str">
        <f>IF(H240="","",IF(H240=0.2,"G","R"))</f>
        <v/>
      </c>
      <c r="H247" s="12" t="str">
        <f>IF(OR(H242="",G3&lt;&gt;"Επιμέλεια: Τουκμενίδης Μηνάς"),"",IF(H242=20%,"G","R"))</f>
        <v/>
      </c>
      <c r="I247" s="13" t="str">
        <f>IF(H244="","",IF(H244=0.025,"G","R"))</f>
        <v/>
      </c>
      <c r="J247" s="32"/>
      <c r="K247" s="28"/>
      <c r="L247" s="29"/>
      <c r="Z247" s="30"/>
    </row>
    <row r="248" spans="1:26" ht="13.9" customHeight="1" x14ac:dyDescent="0.2">
      <c r="A248" s="40"/>
      <c r="B248" s="40"/>
      <c r="C248" s="40"/>
      <c r="D248" s="40"/>
      <c r="E248" s="40"/>
      <c r="F248" s="45" t="str">
        <f>IF(F247&lt;&gt;"G","",7)</f>
        <v/>
      </c>
      <c r="G248" s="45" t="str">
        <f>IF(G247&lt;&gt;"G","",15)</f>
        <v/>
      </c>
      <c r="H248" s="45" t="str">
        <f>IF(H247&lt;&gt;"G","",3)</f>
        <v/>
      </c>
      <c r="I248" s="45" t="str">
        <f>IF(I247&lt;&gt;"G","",15)</f>
        <v/>
      </c>
      <c r="J248" s="28"/>
      <c r="K248" s="28"/>
      <c r="L248" s="29"/>
      <c r="P248" s="235" t="s">
        <v>144</v>
      </c>
      <c r="Q248" s="235"/>
      <c r="R248" s="235"/>
      <c r="S248" s="235"/>
      <c r="T248" s="235"/>
      <c r="U248" s="235"/>
      <c r="V248" s="235"/>
      <c r="W248" s="235"/>
      <c r="X248" s="235"/>
      <c r="Z248" s="30"/>
    </row>
    <row r="249" spans="1:26" ht="13.9" customHeight="1" x14ac:dyDescent="0.2">
      <c r="A249" s="7"/>
      <c r="B249" s="42"/>
      <c r="C249" s="7"/>
      <c r="D249" s="7"/>
      <c r="E249" s="7"/>
      <c r="F249" s="7"/>
      <c r="G249" s="7"/>
      <c r="H249" s="7"/>
      <c r="I249" s="7"/>
      <c r="J249" s="32"/>
      <c r="K249" s="28"/>
      <c r="L249" s="29"/>
      <c r="P249" s="235"/>
      <c r="Q249" s="235"/>
      <c r="R249" s="235"/>
      <c r="S249" s="235"/>
      <c r="T249" s="235"/>
      <c r="U249" s="235"/>
      <c r="V249" s="235"/>
      <c r="W249" s="235"/>
      <c r="X249" s="235"/>
      <c r="Z249" s="30"/>
    </row>
    <row r="250" spans="1:26" ht="16.149999999999999" customHeight="1" x14ac:dyDescent="0.3">
      <c r="A250" s="7"/>
      <c r="B250" s="35" t="s">
        <v>364</v>
      </c>
      <c r="C250" s="46"/>
      <c r="D250" s="190" t="s">
        <v>309</v>
      </c>
      <c r="E250" s="74" t="s">
        <v>351</v>
      </c>
      <c r="F250" s="187" t="s">
        <v>310</v>
      </c>
      <c r="G250" s="50" t="s">
        <v>368</v>
      </c>
      <c r="H250" s="189" t="s">
        <v>77</v>
      </c>
      <c r="I250" s="52"/>
      <c r="J250" s="32"/>
      <c r="K250" s="28"/>
      <c r="L250" s="29"/>
      <c r="P250" s="235"/>
      <c r="Q250" s="235"/>
      <c r="R250" s="235"/>
      <c r="S250" s="235"/>
      <c r="T250" s="235"/>
      <c r="U250" s="235"/>
      <c r="V250" s="235"/>
      <c r="W250" s="235"/>
      <c r="X250" s="235"/>
      <c r="Z250" s="30"/>
    </row>
    <row r="251" spans="1:26" ht="13.9" customHeight="1" thickBot="1" x14ac:dyDescent="0.25">
      <c r="I251" s="7"/>
      <c r="J251" s="32"/>
      <c r="K251" s="28"/>
      <c r="L251" s="29"/>
      <c r="P251" s="235"/>
      <c r="Q251" s="235"/>
      <c r="R251" s="235"/>
      <c r="S251" s="235"/>
      <c r="T251" s="235"/>
      <c r="U251" s="235"/>
      <c r="V251" s="235"/>
      <c r="W251" s="235"/>
      <c r="X251" s="235"/>
      <c r="Z251" s="30"/>
    </row>
    <row r="252" spans="1:26" ht="13.9" customHeight="1" thickTop="1" thickBot="1" x14ac:dyDescent="0.25">
      <c r="B252" s="62" t="s">
        <v>376</v>
      </c>
      <c r="C252" s="66" t="s">
        <v>383</v>
      </c>
      <c r="D252" s="64" t="s">
        <v>379</v>
      </c>
      <c r="E252" s="214" t="s">
        <v>351</v>
      </c>
      <c r="F252" s="64" t="s">
        <v>379</v>
      </c>
      <c r="G252" s="213" t="s">
        <v>368</v>
      </c>
      <c r="H252" s="65"/>
      <c r="I252" s="7"/>
      <c r="J252" s="32"/>
      <c r="K252" s="28"/>
      <c r="L252" s="29"/>
      <c r="P252" s="235"/>
      <c r="Q252" s="235"/>
      <c r="R252" s="235"/>
      <c r="S252" s="235"/>
      <c r="T252" s="235"/>
      <c r="U252" s="235"/>
      <c r="V252" s="235"/>
      <c r="W252" s="235"/>
      <c r="X252" s="235"/>
      <c r="Z252" s="30"/>
    </row>
    <row r="253" spans="1:26" ht="13.9" customHeight="1" thickTop="1" thickBot="1" x14ac:dyDescent="0.25">
      <c r="C253" s="66" t="s">
        <v>372</v>
      </c>
      <c r="D253" s="64" t="s">
        <v>385</v>
      </c>
      <c r="E253" s="214"/>
      <c r="F253" s="165"/>
      <c r="G253" s="213"/>
      <c r="H253" s="75"/>
      <c r="I253" s="7"/>
      <c r="J253" s="32"/>
      <c r="K253" s="28"/>
      <c r="L253" s="29"/>
      <c r="Z253" s="30"/>
    </row>
    <row r="254" spans="1:26" ht="13.9" customHeight="1" thickTop="1" thickBot="1" x14ac:dyDescent="0.25">
      <c r="C254" s="66" t="s">
        <v>370</v>
      </c>
      <c r="D254" s="82"/>
      <c r="E254" s="214"/>
      <c r="F254" s="83"/>
      <c r="G254" s="213"/>
      <c r="H254" s="165"/>
      <c r="I254" s="26" t="str">
        <f>IF(OR(F253="",H254=""),"",IF(AND(F253="anmol",H254="2anmol"),"G","R"))</f>
        <v/>
      </c>
      <c r="J254" s="32"/>
      <c r="K254" s="28"/>
      <c r="L254" s="29"/>
      <c r="P254" s="296" t="s">
        <v>433</v>
      </c>
      <c r="Q254" s="296"/>
      <c r="R254" s="296"/>
      <c r="S254" s="296"/>
      <c r="T254" s="296"/>
      <c r="Z254" s="30"/>
    </row>
    <row r="255" spans="1:26" ht="13.9" customHeight="1" thickTop="1" thickBot="1" x14ac:dyDescent="0.25">
      <c r="B255" s="62" t="s">
        <v>376</v>
      </c>
      <c r="C255" s="73" t="s">
        <v>371</v>
      </c>
      <c r="D255" s="146"/>
      <c r="E255" s="214"/>
      <c r="F255" s="165"/>
      <c r="G255" s="213"/>
      <c r="H255" s="165"/>
      <c r="I255" s="26" t="str">
        <f>IF(OR(D255="",F255="",H255=""),"",IF(AND(OR(D255="(n-an)mol",D255="(n–an)mol",D255="n(1–a)mol",D255="n(1-a)mol"),OR(F255="(n-an)mol",F255="(n–an)mol",F255="n(1–a)mol",F255="n(1-a)mol"),H255="2anmol"),"G","R"))</f>
        <v/>
      </c>
      <c r="J255" s="32"/>
      <c r="K255" s="28"/>
      <c r="L255" s="29"/>
      <c r="P255" s="235" t="s">
        <v>434</v>
      </c>
      <c r="Q255" s="235"/>
      <c r="R255" s="235"/>
      <c r="S255" s="235"/>
      <c r="T255" s="235"/>
      <c r="U255" s="235"/>
      <c r="V255" s="235"/>
      <c r="W255" s="235"/>
      <c r="X255" s="235"/>
      <c r="Z255" s="30"/>
    </row>
    <row r="256" spans="1:26" ht="13.9" customHeight="1" thickTop="1" x14ac:dyDescent="0.2">
      <c r="I256" s="7"/>
      <c r="J256" s="32"/>
      <c r="K256" s="28"/>
      <c r="L256" s="29"/>
      <c r="P256" s="235"/>
      <c r="Q256" s="235"/>
      <c r="R256" s="235"/>
      <c r="S256" s="235"/>
      <c r="T256" s="235"/>
      <c r="U256" s="235"/>
      <c r="V256" s="235"/>
      <c r="W256" s="235"/>
      <c r="X256" s="235"/>
      <c r="Z256" s="30"/>
    </row>
    <row r="257" spans="1:26" ht="13.9" customHeight="1" x14ac:dyDescent="0.2">
      <c r="C257" s="245" t="s">
        <v>78</v>
      </c>
      <c r="D257" s="245"/>
      <c r="E257" s="245"/>
      <c r="F257" s="245"/>
      <c r="G257" s="245"/>
      <c r="H257" s="245"/>
      <c r="I257" s="7"/>
      <c r="J257" s="32"/>
      <c r="K257" s="28"/>
      <c r="L257" s="29"/>
      <c r="P257" s="235"/>
      <c r="Q257" s="235"/>
      <c r="R257" s="235"/>
      <c r="S257" s="235"/>
      <c r="T257" s="235"/>
      <c r="U257" s="235"/>
      <c r="V257" s="235"/>
      <c r="W257" s="235"/>
      <c r="X257" s="235"/>
      <c r="Z257" s="30"/>
    </row>
    <row r="258" spans="1:26" ht="13.9" customHeight="1" x14ac:dyDescent="0.2">
      <c r="C258" s="245"/>
      <c r="D258" s="245"/>
      <c r="E258" s="245"/>
      <c r="F258" s="245"/>
      <c r="G258" s="245"/>
      <c r="H258" s="245"/>
      <c r="I258" s="7"/>
      <c r="J258" s="32"/>
      <c r="K258" s="28"/>
      <c r="L258" s="29"/>
      <c r="P258" s="235"/>
      <c r="Q258" s="235"/>
      <c r="R258" s="235"/>
      <c r="S258" s="235"/>
      <c r="T258" s="235"/>
      <c r="U258" s="235"/>
      <c r="V258" s="235"/>
      <c r="W258" s="235"/>
      <c r="X258" s="235"/>
      <c r="Z258" s="30"/>
    </row>
    <row r="259" spans="1:26" ht="13.9" customHeight="1" x14ac:dyDescent="0.2">
      <c r="I259" s="7"/>
      <c r="J259" s="32"/>
      <c r="K259" s="28"/>
      <c r="L259" s="29"/>
      <c r="P259" s="235"/>
      <c r="Q259" s="235"/>
      <c r="R259" s="235"/>
      <c r="S259" s="235"/>
      <c r="T259" s="235"/>
      <c r="U259" s="235"/>
      <c r="V259" s="235"/>
      <c r="W259" s="235"/>
      <c r="X259" s="235"/>
      <c r="Z259" s="30"/>
    </row>
    <row r="260" spans="1:26" ht="13.9" customHeight="1" x14ac:dyDescent="0.2">
      <c r="C260" s="411" t="s">
        <v>80</v>
      </c>
      <c r="D260" s="411"/>
      <c r="E260" s="411"/>
      <c r="F260" s="411"/>
      <c r="G260" s="411"/>
      <c r="H260" s="411"/>
      <c r="I260" s="7"/>
      <c r="J260" s="32"/>
      <c r="K260" s="28"/>
      <c r="L260" s="29"/>
      <c r="P260" s="266" t="s">
        <v>435</v>
      </c>
      <c r="Q260" s="266"/>
      <c r="R260" s="266"/>
      <c r="S260" s="266"/>
      <c r="T260" s="266"/>
      <c r="U260" s="266"/>
      <c r="V260" s="266"/>
      <c r="W260" s="266"/>
      <c r="X260" s="266"/>
      <c r="Z260" s="30"/>
    </row>
    <row r="261" spans="1:26" ht="13.9" customHeight="1" thickBot="1" x14ac:dyDescent="0.25">
      <c r="I261" s="7"/>
      <c r="J261" s="32"/>
      <c r="K261" s="28"/>
      <c r="L261" s="29"/>
      <c r="P261" s="266"/>
      <c r="Q261" s="266"/>
      <c r="R261" s="266"/>
      <c r="S261" s="266"/>
      <c r="T261" s="266"/>
      <c r="U261" s="266"/>
      <c r="V261" s="266"/>
      <c r="W261" s="266"/>
      <c r="X261" s="266"/>
      <c r="Z261" s="30"/>
    </row>
    <row r="262" spans="1:26" ht="13.9" customHeight="1" thickTop="1" x14ac:dyDescent="0.2">
      <c r="C262" s="239" t="s">
        <v>79</v>
      </c>
      <c r="D262" s="239"/>
      <c r="E262" s="239"/>
      <c r="F262" s="239"/>
      <c r="G262" s="239"/>
      <c r="H262" s="215"/>
      <c r="I262" s="27" t="str">
        <f>IF(H262="","",IF(H262=0.6,"G","R"))</f>
        <v/>
      </c>
      <c r="J262" s="201" t="str">
        <f>IF(K262="","",IF(K262=20,O17,O24))</f>
        <v/>
      </c>
      <c r="K262" s="203" t="str">
        <f>IF(OR(I254="",I255="",I262=""),"",SUM(G265:I265))</f>
        <v/>
      </c>
      <c r="L262" s="29"/>
      <c r="O262" s="311">
        <v>20</v>
      </c>
      <c r="P262" s="235" t="s">
        <v>436</v>
      </c>
      <c r="Q262" s="235"/>
      <c r="R262" s="235"/>
      <c r="S262" s="235"/>
      <c r="T262" s="235"/>
      <c r="U262" s="235"/>
      <c r="V262" s="235"/>
      <c r="W262" s="235"/>
      <c r="X262" s="235"/>
      <c r="Z262" s="30"/>
    </row>
    <row r="263" spans="1:26" ht="13.9" customHeight="1" thickBot="1" x14ac:dyDescent="0.25">
      <c r="C263" s="240"/>
      <c r="D263" s="240"/>
      <c r="E263" s="240"/>
      <c r="F263" s="240"/>
      <c r="G263" s="240"/>
      <c r="H263" s="217"/>
      <c r="I263" s="43"/>
      <c r="J263" s="202"/>
      <c r="K263" s="204"/>
      <c r="L263" s="29"/>
      <c r="O263" s="311"/>
      <c r="P263" s="235"/>
      <c r="Q263" s="235"/>
      <c r="R263" s="235"/>
      <c r="S263" s="235"/>
      <c r="T263" s="235"/>
      <c r="U263" s="235"/>
      <c r="V263" s="235"/>
      <c r="W263" s="235"/>
      <c r="X263" s="235"/>
      <c r="Z263" s="30"/>
    </row>
    <row r="264" spans="1:26" ht="13.9" customHeight="1" thickTop="1" x14ac:dyDescent="0.2">
      <c r="I264" s="7"/>
      <c r="J264" s="32"/>
      <c r="K264" s="28"/>
      <c r="L264" s="29"/>
      <c r="P264" s="235"/>
      <c r="Q264" s="235"/>
      <c r="R264" s="235"/>
      <c r="S264" s="235"/>
      <c r="T264" s="235"/>
      <c r="U264" s="235"/>
      <c r="V264" s="235"/>
      <c r="W264" s="235"/>
      <c r="X264" s="235"/>
      <c r="Z264" s="30"/>
    </row>
    <row r="265" spans="1:26" ht="13.9" customHeight="1" x14ac:dyDescent="0.2">
      <c r="A265" s="40"/>
      <c r="B265" s="40"/>
      <c r="C265" s="40"/>
      <c r="D265" s="40"/>
      <c r="E265" s="40"/>
      <c r="F265" s="40"/>
      <c r="G265" s="45" t="str">
        <f>IF(I254&lt;&gt;"G","",5)</f>
        <v/>
      </c>
      <c r="H265" s="45" t="str">
        <f>IF(I255&lt;&gt;"G","",5)</f>
        <v/>
      </c>
      <c r="I265" s="45" t="str">
        <f>IF(I262&lt;&gt;"G","",10)</f>
        <v/>
      </c>
      <c r="J265" s="28"/>
      <c r="K265" s="28"/>
      <c r="L265" s="29"/>
      <c r="P265" s="235" t="s">
        <v>520</v>
      </c>
      <c r="Q265" s="235"/>
      <c r="R265" s="235"/>
      <c r="S265" s="235"/>
      <c r="T265" s="235"/>
      <c r="U265" s="235"/>
      <c r="V265" s="235"/>
      <c r="W265" s="235"/>
      <c r="X265" s="235"/>
      <c r="Z265" s="30"/>
    </row>
    <row r="266" spans="1:26" ht="13.9" customHeight="1" x14ac:dyDescent="0.2">
      <c r="A266" s="7"/>
      <c r="B266" s="42"/>
      <c r="C266" s="7"/>
      <c r="D266" s="7"/>
      <c r="E266" s="7"/>
      <c r="F266" s="7"/>
      <c r="G266" s="7"/>
      <c r="H266" s="7"/>
      <c r="I266" s="7"/>
      <c r="J266" s="32"/>
      <c r="K266" s="28"/>
      <c r="L266" s="29"/>
      <c r="P266" s="235"/>
      <c r="Q266" s="235"/>
      <c r="R266" s="235"/>
      <c r="S266" s="235"/>
      <c r="T266" s="235"/>
      <c r="U266" s="235"/>
      <c r="V266" s="235"/>
      <c r="W266" s="235"/>
      <c r="X266" s="235"/>
      <c r="Z266" s="30"/>
    </row>
    <row r="267" spans="1:26" ht="16.149999999999999" customHeight="1" x14ac:dyDescent="0.25">
      <c r="A267" s="7"/>
      <c r="B267" s="35" t="s">
        <v>365</v>
      </c>
      <c r="C267" s="46"/>
      <c r="D267" s="55" t="s">
        <v>82</v>
      </c>
      <c r="E267" s="74" t="s">
        <v>351</v>
      </c>
      <c r="F267" s="49" t="s">
        <v>227</v>
      </c>
      <c r="G267" s="50" t="s">
        <v>368</v>
      </c>
      <c r="H267" s="51" t="s">
        <v>81</v>
      </c>
      <c r="I267" s="84"/>
      <c r="J267" s="32"/>
      <c r="K267" s="28"/>
      <c r="L267" s="29"/>
      <c r="P267" s="235"/>
      <c r="Q267" s="235"/>
      <c r="R267" s="235"/>
      <c r="S267" s="235"/>
      <c r="T267" s="235"/>
      <c r="U267" s="235"/>
      <c r="V267" s="235"/>
      <c r="W267" s="235"/>
      <c r="X267" s="235"/>
      <c r="Z267" s="30"/>
    </row>
    <row r="268" spans="1:26" ht="13.9" customHeight="1" x14ac:dyDescent="0.2">
      <c r="I268" s="7"/>
      <c r="J268" s="32"/>
      <c r="K268" s="28"/>
      <c r="L268" s="29"/>
      <c r="P268" s="235"/>
      <c r="Q268" s="235"/>
      <c r="R268" s="235"/>
      <c r="S268" s="235"/>
      <c r="T268" s="235"/>
      <c r="U268" s="235"/>
      <c r="V268" s="235"/>
      <c r="W268" s="235"/>
      <c r="X268" s="235"/>
      <c r="Z268" s="30"/>
    </row>
    <row r="269" spans="1:26" ht="13.9" customHeight="1" x14ac:dyDescent="0.2">
      <c r="I269" s="7"/>
      <c r="J269" s="32"/>
      <c r="K269" s="28"/>
      <c r="L269" s="29"/>
      <c r="P269" s="235"/>
      <c r="Q269" s="235"/>
      <c r="R269" s="235"/>
      <c r="S269" s="235"/>
      <c r="T269" s="235"/>
      <c r="U269" s="235"/>
      <c r="V269" s="235"/>
      <c r="W269" s="235"/>
      <c r="X269" s="235"/>
      <c r="Z269" s="30"/>
    </row>
    <row r="270" spans="1:26" ht="13.9" customHeight="1" x14ac:dyDescent="0.2">
      <c r="I270" s="7"/>
      <c r="J270" s="32"/>
      <c r="K270" s="28"/>
      <c r="L270" s="29"/>
      <c r="P270" s="235" t="s">
        <v>437</v>
      </c>
      <c r="Q270" s="235"/>
      <c r="R270" s="235"/>
      <c r="S270" s="235"/>
      <c r="T270" s="235"/>
      <c r="U270" s="235"/>
      <c r="V270" s="235"/>
      <c r="W270" s="235"/>
      <c r="X270" s="235"/>
      <c r="Z270" s="30"/>
    </row>
    <row r="271" spans="1:26" ht="13.9" customHeight="1" x14ac:dyDescent="0.2">
      <c r="I271" s="7"/>
      <c r="J271" s="32"/>
      <c r="K271" s="28"/>
      <c r="L271" s="29"/>
      <c r="P271" s="235"/>
      <c r="Q271" s="235"/>
      <c r="R271" s="235"/>
      <c r="S271" s="235"/>
      <c r="T271" s="235"/>
      <c r="U271" s="235"/>
      <c r="V271" s="235"/>
      <c r="W271" s="235"/>
      <c r="X271" s="235"/>
      <c r="Z271" s="30"/>
    </row>
    <row r="272" spans="1:26" ht="13.9" customHeight="1" x14ac:dyDescent="0.2">
      <c r="I272" s="7"/>
      <c r="J272" s="32"/>
      <c r="K272" s="28"/>
      <c r="L272" s="29"/>
      <c r="P272" s="235"/>
      <c r="Q272" s="235"/>
      <c r="R272" s="235"/>
      <c r="S272" s="235"/>
      <c r="T272" s="235"/>
      <c r="U272" s="235"/>
      <c r="V272" s="235"/>
      <c r="W272" s="235"/>
      <c r="X272" s="235"/>
      <c r="Z272" s="30"/>
    </row>
    <row r="273" spans="2:26" ht="13.9" customHeight="1" x14ac:dyDescent="0.2">
      <c r="I273" s="7"/>
      <c r="J273" s="32"/>
      <c r="K273" s="28"/>
      <c r="L273" s="29"/>
      <c r="P273" s="235"/>
      <c r="Q273" s="235"/>
      <c r="R273" s="235"/>
      <c r="S273" s="235"/>
      <c r="T273" s="235"/>
      <c r="U273" s="235"/>
      <c r="V273" s="235"/>
      <c r="W273" s="235"/>
      <c r="X273" s="235"/>
      <c r="Z273" s="30"/>
    </row>
    <row r="274" spans="2:26" ht="13.9" customHeight="1" x14ac:dyDescent="0.2">
      <c r="I274" s="7"/>
      <c r="J274" s="32"/>
      <c r="K274" s="28"/>
      <c r="L274" s="29"/>
      <c r="P274" s="235"/>
      <c r="Q274" s="235"/>
      <c r="R274" s="235"/>
      <c r="S274" s="235"/>
      <c r="T274" s="235"/>
      <c r="U274" s="235"/>
      <c r="V274" s="235"/>
      <c r="W274" s="235"/>
      <c r="X274" s="235"/>
      <c r="Z274" s="30"/>
    </row>
    <row r="275" spans="2:26" ht="13.9" customHeight="1" x14ac:dyDescent="0.2">
      <c r="I275" s="7"/>
      <c r="J275" s="32"/>
      <c r="K275" s="28"/>
      <c r="L275" s="29"/>
      <c r="P275" s="235"/>
      <c r="Q275" s="235"/>
      <c r="R275" s="235"/>
      <c r="S275" s="235"/>
      <c r="T275" s="235"/>
      <c r="U275" s="235"/>
      <c r="V275" s="235"/>
      <c r="W275" s="235"/>
      <c r="X275" s="235"/>
      <c r="Z275" s="30"/>
    </row>
    <row r="276" spans="2:26" ht="13.9" customHeight="1" x14ac:dyDescent="0.2">
      <c r="I276" s="7"/>
      <c r="J276" s="32"/>
      <c r="K276" s="28"/>
      <c r="L276" s="29"/>
      <c r="P276" s="235" t="s">
        <v>438</v>
      </c>
      <c r="Q276" s="235"/>
      <c r="R276" s="235"/>
      <c r="S276" s="235"/>
      <c r="T276" s="235"/>
      <c r="U276" s="235"/>
      <c r="V276" s="235"/>
      <c r="W276" s="235"/>
      <c r="X276" s="235"/>
      <c r="Z276" s="30"/>
    </row>
    <row r="277" spans="2:26" ht="13.9" customHeight="1" thickBot="1" x14ac:dyDescent="0.25">
      <c r="I277" s="7"/>
      <c r="J277" s="32"/>
      <c r="K277" s="28"/>
      <c r="L277" s="29"/>
      <c r="P277" s="493" t="s">
        <v>145</v>
      </c>
      <c r="Q277" s="269" t="s">
        <v>487</v>
      </c>
      <c r="R277" s="269"/>
      <c r="S277" s="269"/>
      <c r="T277" s="269"/>
      <c r="U277" s="269"/>
      <c r="V277" s="269"/>
      <c r="Z277" s="30"/>
    </row>
    <row r="278" spans="2:26" ht="13.9" customHeight="1" thickTop="1" thickBot="1" x14ac:dyDescent="0.25">
      <c r="B278" s="85" t="s">
        <v>376</v>
      </c>
      <c r="C278" s="66" t="s">
        <v>383</v>
      </c>
      <c r="D278" s="86"/>
      <c r="E278" s="214" t="s">
        <v>351</v>
      </c>
      <c r="F278" s="65"/>
      <c r="G278" s="213" t="s">
        <v>368</v>
      </c>
      <c r="H278" s="64" t="s">
        <v>384</v>
      </c>
      <c r="I278" s="7"/>
      <c r="J278" s="32"/>
      <c r="K278" s="28"/>
      <c r="L278" s="29"/>
      <c r="P278" s="493"/>
      <c r="Q278" s="269" t="s">
        <v>488</v>
      </c>
      <c r="R278" s="269"/>
      <c r="S278" s="269"/>
      <c r="T278" s="269"/>
      <c r="U278" s="269"/>
      <c r="V278" s="269"/>
      <c r="Z278" s="30"/>
    </row>
    <row r="279" spans="2:26" ht="13.9" customHeight="1" thickTop="1" thickBot="1" x14ac:dyDescent="0.25">
      <c r="B279" s="196" t="s">
        <v>524</v>
      </c>
      <c r="C279" s="66" t="s">
        <v>372</v>
      </c>
      <c r="D279" s="88"/>
      <c r="E279" s="214"/>
      <c r="F279" s="75"/>
      <c r="G279" s="213"/>
      <c r="H279" s="146"/>
      <c r="I279" s="7"/>
      <c r="J279" s="32"/>
      <c r="K279" s="28"/>
      <c r="L279" s="29"/>
      <c r="P279" s="235" t="s">
        <v>439</v>
      </c>
      <c r="Q279" s="235"/>
      <c r="R279" s="235"/>
      <c r="S279" s="235"/>
      <c r="T279" s="235"/>
      <c r="U279" s="235"/>
      <c r="V279" s="235"/>
      <c r="W279" s="235"/>
      <c r="X279" s="235"/>
      <c r="Z279" s="30"/>
    </row>
    <row r="280" spans="2:26" ht="13.9" customHeight="1" thickTop="1" thickBot="1" x14ac:dyDescent="0.25">
      <c r="C280" s="66" t="s">
        <v>370</v>
      </c>
      <c r="D280" s="146"/>
      <c r="E280" s="214"/>
      <c r="F280" s="165"/>
      <c r="G280" s="213"/>
      <c r="H280" s="75"/>
      <c r="I280" s="7"/>
      <c r="J280" s="32"/>
      <c r="K280" s="28"/>
      <c r="L280" s="29"/>
      <c r="Z280" s="30"/>
    </row>
    <row r="281" spans="2:26" ht="13.9" customHeight="1" thickTop="1" thickBot="1" x14ac:dyDescent="0.25">
      <c r="B281" s="85" t="s">
        <v>376</v>
      </c>
      <c r="C281" s="73" t="s">
        <v>371</v>
      </c>
      <c r="D281" s="146"/>
      <c r="E281" s="214"/>
      <c r="F281" s="165"/>
      <c r="G281" s="213"/>
      <c r="H281" s="165"/>
      <c r="I281" s="7"/>
      <c r="J281" s="32"/>
      <c r="K281" s="28"/>
      <c r="L281" s="29"/>
      <c r="Z281" s="30"/>
    </row>
    <row r="282" spans="2:26" ht="13.9" customHeight="1" thickTop="1" x14ac:dyDescent="0.2">
      <c r="I282" s="7"/>
      <c r="J282" s="32"/>
      <c r="K282" s="28"/>
      <c r="L282" s="29"/>
      <c r="P282" s="252" t="s">
        <v>440</v>
      </c>
      <c r="Q282" s="252"/>
      <c r="R282" s="252"/>
      <c r="S282" s="252"/>
      <c r="T282" s="252"/>
      <c r="U282" s="252"/>
      <c r="V282" s="252"/>
      <c r="W282" s="252"/>
      <c r="X282" s="252"/>
      <c r="Z282" s="30"/>
    </row>
    <row r="283" spans="2:26" ht="13.9" customHeight="1" x14ac:dyDescent="0.2">
      <c r="C283" s="424" t="s">
        <v>83</v>
      </c>
      <c r="D283" s="425"/>
      <c r="E283" s="425"/>
      <c r="F283" s="425"/>
      <c r="G283" s="425"/>
      <c r="H283" s="426"/>
      <c r="I283" s="7"/>
      <c r="J283" s="32"/>
      <c r="K283" s="28"/>
      <c r="L283" s="29"/>
      <c r="P283" s="252"/>
      <c r="Q283" s="252"/>
      <c r="R283" s="252"/>
      <c r="S283" s="252"/>
      <c r="T283" s="252"/>
      <c r="U283" s="252"/>
      <c r="V283" s="252"/>
      <c r="W283" s="252"/>
      <c r="X283" s="252"/>
      <c r="Z283" s="30"/>
    </row>
    <row r="284" spans="2:26" ht="13.9" customHeight="1" x14ac:dyDescent="0.2">
      <c r="C284" s="427"/>
      <c r="D284" s="245"/>
      <c r="E284" s="245"/>
      <c r="F284" s="245"/>
      <c r="G284" s="245"/>
      <c r="H284" s="428"/>
      <c r="I284" s="7"/>
      <c r="J284" s="32"/>
      <c r="K284" s="28"/>
      <c r="L284" s="29"/>
      <c r="P284" s="252"/>
      <c r="Q284" s="252"/>
      <c r="R284" s="252"/>
      <c r="S284" s="252"/>
      <c r="T284" s="252"/>
      <c r="U284" s="252"/>
      <c r="V284" s="252"/>
      <c r="W284" s="252"/>
      <c r="X284" s="252"/>
      <c r="Z284" s="30"/>
    </row>
    <row r="285" spans="2:26" ht="13.9" customHeight="1" x14ac:dyDescent="0.2">
      <c r="C285" s="429"/>
      <c r="D285" s="430"/>
      <c r="E285" s="430"/>
      <c r="F285" s="430"/>
      <c r="G285" s="430"/>
      <c r="H285" s="431"/>
      <c r="I285" s="7"/>
      <c r="J285" s="32"/>
      <c r="K285" s="28"/>
      <c r="L285" s="29"/>
      <c r="P285" s="252"/>
      <c r="Q285" s="252"/>
      <c r="R285" s="252"/>
      <c r="S285" s="252"/>
      <c r="T285" s="252"/>
      <c r="U285" s="252"/>
      <c r="V285" s="252"/>
      <c r="W285" s="252"/>
      <c r="X285" s="252"/>
      <c r="Z285" s="30"/>
    </row>
    <row r="286" spans="2:26" ht="13.9" customHeight="1" x14ac:dyDescent="0.2">
      <c r="I286" s="7"/>
      <c r="J286" s="32"/>
      <c r="K286" s="28"/>
      <c r="L286" s="29"/>
      <c r="P286" s="252"/>
      <c r="Q286" s="252"/>
      <c r="R286" s="252"/>
      <c r="S286" s="252"/>
      <c r="T286" s="252"/>
      <c r="U286" s="252"/>
      <c r="V286" s="252"/>
      <c r="W286" s="252"/>
      <c r="X286" s="252"/>
      <c r="Z286" s="30"/>
    </row>
    <row r="287" spans="2:26" ht="13.9" customHeight="1" x14ac:dyDescent="0.2">
      <c r="B287" s="87" t="s">
        <v>2</v>
      </c>
      <c r="C287" s="264" t="s">
        <v>302</v>
      </c>
      <c r="D287" s="264"/>
      <c r="E287" s="264"/>
      <c r="F287" s="264"/>
      <c r="G287" s="264"/>
      <c r="H287" s="264"/>
      <c r="I287" s="264"/>
      <c r="J287" s="32"/>
      <c r="K287" s="28"/>
      <c r="L287" s="29"/>
      <c r="Z287" s="30"/>
    </row>
    <row r="288" spans="2:26" ht="13.9" customHeight="1" x14ac:dyDescent="0.2">
      <c r="C288" s="264"/>
      <c r="D288" s="264"/>
      <c r="E288" s="264"/>
      <c r="F288" s="264"/>
      <c r="G288" s="264"/>
      <c r="H288" s="264"/>
      <c r="I288" s="264"/>
      <c r="J288" s="32"/>
      <c r="K288" s="28"/>
      <c r="L288" s="29"/>
      <c r="P288" s="252" t="s">
        <v>146</v>
      </c>
      <c r="Q288" s="252"/>
      <c r="R288" s="252"/>
      <c r="S288" s="252"/>
      <c r="T288" s="252"/>
      <c r="U288" s="252"/>
      <c r="V288" s="252"/>
      <c r="W288" s="252"/>
      <c r="X288" s="252"/>
      <c r="Z288" s="30"/>
    </row>
    <row r="289" spans="1:26" ht="13.9" customHeight="1" x14ac:dyDescent="0.2">
      <c r="C289" s="264"/>
      <c r="D289" s="264"/>
      <c r="E289" s="264"/>
      <c r="F289" s="264"/>
      <c r="G289" s="264"/>
      <c r="H289" s="264"/>
      <c r="I289" s="264"/>
      <c r="J289" s="32"/>
      <c r="K289" s="28"/>
      <c r="L289" s="29"/>
      <c r="P289" s="235" t="s">
        <v>147</v>
      </c>
      <c r="Q289" s="235"/>
      <c r="R289" s="235"/>
      <c r="S289" s="235"/>
      <c r="T289" s="235"/>
      <c r="U289" s="235"/>
      <c r="V289" s="235"/>
      <c r="W289" s="235"/>
      <c r="X289" s="235"/>
      <c r="Z289" s="30"/>
    </row>
    <row r="290" spans="1:26" ht="13.9" customHeight="1" x14ac:dyDescent="0.2">
      <c r="C290" s="264"/>
      <c r="D290" s="264"/>
      <c r="E290" s="264"/>
      <c r="F290" s="264"/>
      <c r="G290" s="264"/>
      <c r="H290" s="264"/>
      <c r="I290" s="264"/>
      <c r="J290" s="32"/>
      <c r="K290" s="28"/>
      <c r="L290" s="29"/>
      <c r="P290" s="483" t="s">
        <v>441</v>
      </c>
      <c r="Q290" s="483"/>
      <c r="R290" s="483"/>
      <c r="S290" s="483"/>
      <c r="T290" s="483"/>
      <c r="U290" s="483"/>
      <c r="V290" s="483"/>
      <c r="W290" s="483"/>
      <c r="X290" s="483"/>
      <c r="Z290" s="30"/>
    </row>
    <row r="291" spans="1:26" ht="13.9" customHeight="1" thickBot="1" x14ac:dyDescent="0.25">
      <c r="I291" s="7"/>
      <c r="J291" s="32"/>
      <c r="K291" s="28"/>
      <c r="L291" s="29"/>
      <c r="P291" s="483"/>
      <c r="Q291" s="483"/>
      <c r="R291" s="483"/>
      <c r="S291" s="483"/>
      <c r="T291" s="483"/>
      <c r="U291" s="483"/>
      <c r="V291" s="483"/>
      <c r="W291" s="483"/>
      <c r="X291" s="483"/>
      <c r="Z291" s="30"/>
    </row>
    <row r="292" spans="1:26" ht="16.149999999999999" customHeight="1" thickTop="1" x14ac:dyDescent="0.2">
      <c r="C292" s="239" t="s">
        <v>303</v>
      </c>
      <c r="D292" s="239"/>
      <c r="E292" s="239"/>
      <c r="F292" s="239"/>
      <c r="G292" s="239"/>
      <c r="H292" s="215"/>
      <c r="I292" s="7"/>
      <c r="J292" s="32"/>
      <c r="K292" s="28"/>
      <c r="L292" s="29"/>
      <c r="P292" s="265" t="s">
        <v>464</v>
      </c>
      <c r="Q292" s="265"/>
      <c r="R292" s="89" t="s">
        <v>401</v>
      </c>
      <c r="T292" s="89" t="s">
        <v>462</v>
      </c>
      <c r="Z292" s="30"/>
    </row>
    <row r="293" spans="1:26" ht="16.149999999999999" customHeight="1" thickBot="1" x14ac:dyDescent="0.25">
      <c r="C293" s="240"/>
      <c r="D293" s="240"/>
      <c r="E293" s="240"/>
      <c r="F293" s="240"/>
      <c r="G293" s="240"/>
      <c r="H293" s="217"/>
      <c r="I293" s="7"/>
      <c r="J293" s="32"/>
      <c r="K293" s="28"/>
      <c r="L293" s="29"/>
      <c r="P293" s="265" t="s">
        <v>493</v>
      </c>
      <c r="Q293" s="265"/>
      <c r="R293" s="497" t="s">
        <v>463</v>
      </c>
      <c r="S293" s="1"/>
      <c r="T293" s="497" t="s">
        <v>462</v>
      </c>
      <c r="Z293" s="30"/>
    </row>
    <row r="294" spans="1:26" ht="13.9" customHeight="1" thickTop="1" thickBot="1" x14ac:dyDescent="0.25">
      <c r="I294" s="7"/>
      <c r="J294" s="32"/>
      <c r="K294" s="28"/>
      <c r="L294" s="29"/>
      <c r="P294" s="265"/>
      <c r="Q294" s="265"/>
      <c r="R294" s="497"/>
      <c r="S294" s="1"/>
      <c r="T294" s="497"/>
      <c r="Z294" s="30"/>
    </row>
    <row r="295" spans="1:26" ht="16.149999999999999" customHeight="1" thickTop="1" x14ac:dyDescent="0.2">
      <c r="C295" s="239" t="s">
        <v>304</v>
      </c>
      <c r="D295" s="239"/>
      <c r="E295" s="239"/>
      <c r="F295" s="239"/>
      <c r="G295" s="239"/>
      <c r="H295" s="504"/>
      <c r="I295" s="43"/>
      <c r="J295" s="243" t="str">
        <f>IF(K295="","",IF(K295=35,"ΟΛΑΛΑ!..","ΧΜΜ!.."))</f>
        <v/>
      </c>
      <c r="K295" s="203" t="str">
        <f>IF(OR(E297="",F297="",G297="",H297="",I297=""),"",SUM(E299:I299))</f>
        <v/>
      </c>
      <c r="L295" s="29"/>
      <c r="O295" s="311">
        <v>35</v>
      </c>
      <c r="P295" s="265" t="s">
        <v>494</v>
      </c>
      <c r="Q295" s="265"/>
      <c r="R295" s="1"/>
      <c r="S295" s="1"/>
      <c r="T295" s="1"/>
      <c r="U295" s="1"/>
      <c r="V295" s="89" t="s">
        <v>373</v>
      </c>
      <c r="Z295" s="30"/>
    </row>
    <row r="296" spans="1:26" ht="16.149999999999999" customHeight="1" thickBot="1" x14ac:dyDescent="0.25">
      <c r="C296" s="240"/>
      <c r="D296" s="240"/>
      <c r="E296" s="240"/>
      <c r="F296" s="240"/>
      <c r="G296" s="240"/>
      <c r="H296" s="505"/>
      <c r="I296" s="43"/>
      <c r="J296" s="244"/>
      <c r="K296" s="204"/>
      <c r="L296" s="29"/>
      <c r="O296" s="311"/>
      <c r="P296" s="506" t="s">
        <v>465</v>
      </c>
      <c r="Q296" s="506"/>
      <c r="R296" s="155" t="s">
        <v>400</v>
      </c>
      <c r="S296" s="150"/>
      <c r="T296" s="150" t="s">
        <v>442</v>
      </c>
      <c r="U296" s="150"/>
      <c r="V296" s="155" t="s">
        <v>373</v>
      </c>
      <c r="Z296" s="30"/>
    </row>
    <row r="297" spans="1:26" ht="13.9" customHeight="1" thickTop="1" x14ac:dyDescent="0.2">
      <c r="E297" s="12" t="str">
        <f>IF(H279="","",IF(H279="0,42mol","G","R"))</f>
        <v/>
      </c>
      <c r="F297" s="12" t="str">
        <f>IF(OR(D280="",F280=""),"",IF(AND(D280="0,42mol",F280="0,21mol"),"G","R"))</f>
        <v/>
      </c>
      <c r="G297" s="12" t="str">
        <f>IF(OR(D281="",F281="",H281=""),"",IF(AND(D281="0,42mol",F281="0,21mol",H281="0,98mol"),"G","R"))</f>
        <v/>
      </c>
      <c r="H297" s="12" t="str">
        <f>IF(OR(G3&lt;&gt;"Επιμέλεια: Τουκμενίδης Μηνάς",H292=""),"",IF(H292=70,"G","R"))</f>
        <v/>
      </c>
      <c r="I297" s="13" t="str">
        <f>IF(H295="","",IF(H295=1/70,"G","R"))</f>
        <v/>
      </c>
      <c r="J297" s="32"/>
      <c r="K297" s="28"/>
      <c r="L297" s="29"/>
      <c r="Z297" s="30"/>
    </row>
    <row r="298" spans="1:26" ht="13.9" customHeight="1" x14ac:dyDescent="0.2">
      <c r="I298" s="7"/>
      <c r="J298" s="32"/>
      <c r="K298" s="28"/>
      <c r="L298" s="29"/>
      <c r="P298" s="235" t="s">
        <v>148</v>
      </c>
      <c r="Q298" s="235"/>
      <c r="R298" s="235"/>
      <c r="S298" s="235"/>
      <c r="T298" s="235"/>
      <c r="U298" s="235"/>
      <c r="V298" s="235"/>
      <c r="W298" s="235"/>
      <c r="X298" s="235"/>
      <c r="Z298" s="30"/>
    </row>
    <row r="299" spans="1:26" ht="13.9" customHeight="1" x14ac:dyDescent="0.2">
      <c r="A299" s="40"/>
      <c r="B299" s="40"/>
      <c r="C299" s="40"/>
      <c r="D299" s="40"/>
      <c r="E299" s="45" t="str">
        <f>IF(E297&lt;&gt;"G","",6)</f>
        <v/>
      </c>
      <c r="F299" s="45" t="str">
        <f>IF(F297&lt;&gt;"G","",6)</f>
        <v/>
      </c>
      <c r="G299" s="45" t="str">
        <f>IF(G297&lt;&gt;"G","",6)</f>
        <v/>
      </c>
      <c r="H299" s="45" t="str">
        <f>IF(H297&lt;&gt;"G","",10)</f>
        <v/>
      </c>
      <c r="I299" s="45" t="str">
        <f>IF(I297&lt;&gt;"G","",7)</f>
        <v/>
      </c>
      <c r="J299" s="28"/>
      <c r="K299" s="28"/>
      <c r="L299" s="29"/>
      <c r="P299" s="235"/>
      <c r="Q299" s="235"/>
      <c r="R299" s="235"/>
      <c r="S299" s="235"/>
      <c r="T299" s="235"/>
      <c r="U299" s="235"/>
      <c r="V299" s="235"/>
      <c r="W299" s="235"/>
      <c r="X299" s="235"/>
      <c r="Z299" s="30"/>
    </row>
    <row r="300" spans="1:26" ht="13.9" customHeight="1" x14ac:dyDescent="0.2">
      <c r="A300" s="7"/>
      <c r="B300" s="42"/>
      <c r="C300" s="7"/>
      <c r="D300" s="7"/>
      <c r="E300" s="7"/>
      <c r="F300" s="7"/>
      <c r="G300" s="7"/>
      <c r="H300" s="7"/>
      <c r="I300" s="7"/>
      <c r="J300" s="32"/>
      <c r="K300" s="28"/>
      <c r="L300" s="29"/>
      <c r="P300" s="235"/>
      <c r="Q300" s="235"/>
      <c r="R300" s="235"/>
      <c r="S300" s="235"/>
      <c r="T300" s="235"/>
      <c r="U300" s="235"/>
      <c r="V300" s="235"/>
      <c r="W300" s="235"/>
      <c r="X300" s="235"/>
      <c r="Z300" s="30"/>
    </row>
    <row r="301" spans="1:26" ht="18" customHeight="1" x14ac:dyDescent="0.25">
      <c r="A301" s="90"/>
      <c r="B301" s="35" t="s">
        <v>387</v>
      </c>
      <c r="C301" s="46"/>
      <c r="D301" s="34" t="s">
        <v>229</v>
      </c>
      <c r="E301" s="50" t="s">
        <v>368</v>
      </c>
      <c r="F301" s="49" t="s">
        <v>230</v>
      </c>
      <c r="G301" s="74" t="s">
        <v>351</v>
      </c>
      <c r="H301" s="91" t="s">
        <v>226</v>
      </c>
      <c r="I301" s="52"/>
      <c r="J301" s="32"/>
      <c r="K301" s="28"/>
      <c r="L301" s="29"/>
      <c r="P301" s="235"/>
      <c r="Q301" s="235"/>
      <c r="R301" s="235"/>
      <c r="S301" s="235"/>
      <c r="T301" s="235"/>
      <c r="U301" s="235"/>
      <c r="V301" s="235"/>
      <c r="W301" s="235"/>
      <c r="X301" s="235"/>
      <c r="Z301" s="30"/>
    </row>
    <row r="302" spans="1:26" ht="13.9" customHeight="1" x14ac:dyDescent="0.2">
      <c r="I302" s="7"/>
      <c r="J302" s="32"/>
      <c r="K302" s="28"/>
      <c r="L302" s="29"/>
      <c r="Z302" s="30"/>
    </row>
    <row r="303" spans="1:26" ht="13.9" customHeight="1" x14ac:dyDescent="0.2">
      <c r="I303" s="7"/>
      <c r="J303" s="32"/>
      <c r="K303" s="28"/>
      <c r="L303" s="29"/>
      <c r="P303" s="235" t="s">
        <v>443</v>
      </c>
      <c r="Q303" s="235"/>
      <c r="R303" s="235"/>
      <c r="S303" s="235"/>
      <c r="T303" s="235"/>
      <c r="U303" s="235"/>
      <c r="V303" s="235"/>
      <c r="W303" s="235"/>
      <c r="X303" s="235"/>
      <c r="Z303" s="30"/>
    </row>
    <row r="304" spans="1:26" ht="13.9" customHeight="1" x14ac:dyDescent="0.2">
      <c r="I304" s="7"/>
      <c r="J304" s="32"/>
      <c r="K304" s="28"/>
      <c r="L304" s="29"/>
      <c r="P304" s="235"/>
      <c r="Q304" s="235"/>
      <c r="R304" s="235"/>
      <c r="S304" s="235"/>
      <c r="T304" s="235"/>
      <c r="U304" s="235"/>
      <c r="V304" s="235"/>
      <c r="W304" s="235"/>
      <c r="X304" s="235"/>
      <c r="Z304" s="30"/>
    </row>
    <row r="305" spans="2:26" ht="13.9" customHeight="1" x14ac:dyDescent="0.2">
      <c r="I305" s="7"/>
      <c r="J305" s="32"/>
      <c r="K305" s="28"/>
      <c r="L305" s="29"/>
      <c r="P305" s="235" t="s">
        <v>444</v>
      </c>
      <c r="Q305" s="235"/>
      <c r="R305" s="235"/>
      <c r="S305" s="235"/>
      <c r="T305" s="235"/>
      <c r="U305" s="235"/>
      <c r="V305" s="235"/>
      <c r="W305" s="235"/>
      <c r="X305" s="235"/>
      <c r="Z305" s="30"/>
    </row>
    <row r="306" spans="2:26" ht="13.9" customHeight="1" x14ac:dyDescent="0.2">
      <c r="I306" s="7"/>
      <c r="J306" s="32"/>
      <c r="K306" s="28"/>
      <c r="L306" s="29"/>
      <c r="P306" s="235"/>
      <c r="Q306" s="235"/>
      <c r="R306" s="235"/>
      <c r="S306" s="235"/>
      <c r="T306" s="235"/>
      <c r="U306" s="235"/>
      <c r="V306" s="235"/>
      <c r="W306" s="235"/>
      <c r="X306" s="235"/>
      <c r="Z306" s="30"/>
    </row>
    <row r="307" spans="2:26" ht="13.9" customHeight="1" thickBot="1" x14ac:dyDescent="0.25">
      <c r="I307" s="7"/>
      <c r="J307" s="32"/>
      <c r="K307" s="28"/>
      <c r="L307" s="29"/>
      <c r="N307" s="452" t="s">
        <v>149</v>
      </c>
      <c r="Z307" s="30"/>
    </row>
    <row r="308" spans="2:26" ht="13.9" customHeight="1" thickTop="1" thickBot="1" x14ac:dyDescent="0.25">
      <c r="B308" s="85" t="s">
        <v>376</v>
      </c>
      <c r="C308" s="66" t="s">
        <v>369</v>
      </c>
      <c r="D308" s="64" t="s">
        <v>379</v>
      </c>
      <c r="E308" s="213" t="s">
        <v>368</v>
      </c>
      <c r="F308" s="65"/>
      <c r="G308" s="214" t="s">
        <v>351</v>
      </c>
      <c r="H308" s="65"/>
      <c r="I308" s="7"/>
      <c r="J308" s="32"/>
      <c r="K308" s="28"/>
      <c r="L308" s="29"/>
      <c r="N308" s="452"/>
      <c r="P308" s="252" t="s">
        <v>445</v>
      </c>
      <c r="Q308" s="252"/>
      <c r="R308" s="252"/>
      <c r="S308" s="252"/>
      <c r="T308" s="252"/>
      <c r="U308" s="252"/>
      <c r="V308" s="252"/>
      <c r="W308" s="252"/>
      <c r="X308" s="252"/>
      <c r="Z308" s="30"/>
    </row>
    <row r="309" spans="2:26" ht="18" customHeight="1" thickTop="1" thickBot="1" x14ac:dyDescent="0.25">
      <c r="B309" s="480" t="s">
        <v>198</v>
      </c>
      <c r="C309" s="66" t="s">
        <v>372</v>
      </c>
      <c r="D309" s="64" t="s">
        <v>385</v>
      </c>
      <c r="E309" s="213"/>
      <c r="F309" s="65"/>
      <c r="G309" s="214"/>
      <c r="H309" s="65"/>
      <c r="I309" s="7"/>
      <c r="J309" s="32"/>
      <c r="K309" s="28"/>
      <c r="L309" s="29"/>
      <c r="N309" s="452"/>
      <c r="P309" s="264" t="s">
        <v>521</v>
      </c>
      <c r="Q309" s="264"/>
      <c r="R309" s="264"/>
      <c r="S309" s="264"/>
      <c r="T309" s="264"/>
      <c r="U309" s="264"/>
      <c r="V309" s="264"/>
      <c r="W309" s="264"/>
      <c r="X309" s="264"/>
      <c r="Z309" s="30"/>
    </row>
    <row r="310" spans="2:26" ht="18" customHeight="1" thickTop="1" thickBot="1" x14ac:dyDescent="0.25">
      <c r="B310" s="480"/>
      <c r="C310" s="66" t="s">
        <v>370</v>
      </c>
      <c r="D310" s="67"/>
      <c r="E310" s="213"/>
      <c r="F310" s="165"/>
      <c r="G310" s="214"/>
      <c r="H310" s="165"/>
      <c r="I310" s="7"/>
      <c r="J310" s="32"/>
      <c r="K310" s="28"/>
      <c r="L310" s="29"/>
      <c r="P310" s="264"/>
      <c r="Q310" s="264"/>
      <c r="R310" s="264"/>
      <c r="S310" s="264"/>
      <c r="T310" s="264"/>
      <c r="U310" s="264"/>
      <c r="V310" s="264"/>
      <c r="W310" s="264"/>
      <c r="X310" s="264"/>
      <c r="Z310" s="30"/>
    </row>
    <row r="311" spans="2:26" ht="18" customHeight="1" thickTop="1" thickBot="1" x14ac:dyDescent="0.25">
      <c r="B311" s="85" t="s">
        <v>376</v>
      </c>
      <c r="C311" s="73" t="s">
        <v>371</v>
      </c>
      <c r="D311" s="146"/>
      <c r="E311" s="213"/>
      <c r="F311" s="165"/>
      <c r="G311" s="214"/>
      <c r="H311" s="165"/>
      <c r="I311" s="7"/>
      <c r="J311" s="32"/>
      <c r="K311" s="28"/>
      <c r="L311" s="29"/>
      <c r="P311" s="264"/>
      <c r="Q311" s="264"/>
      <c r="R311" s="264"/>
      <c r="S311" s="264"/>
      <c r="T311" s="264"/>
      <c r="U311" s="264"/>
      <c r="V311" s="264"/>
      <c r="W311" s="264"/>
      <c r="X311" s="264"/>
      <c r="Z311" s="30"/>
    </row>
    <row r="312" spans="2:26" ht="18" customHeight="1" thickTop="1" x14ac:dyDescent="0.2">
      <c r="I312" s="7"/>
      <c r="J312" s="32"/>
      <c r="K312" s="28"/>
      <c r="L312" s="29"/>
      <c r="P312" s="264"/>
      <c r="Q312" s="264"/>
      <c r="R312" s="264"/>
      <c r="S312" s="264"/>
      <c r="T312" s="264"/>
      <c r="U312" s="264"/>
      <c r="V312" s="264"/>
      <c r="W312" s="264"/>
      <c r="X312" s="264"/>
      <c r="Z312" s="30"/>
    </row>
    <row r="313" spans="2:26" ht="18" customHeight="1" x14ac:dyDescent="0.2">
      <c r="C313" s="245" t="s">
        <v>305</v>
      </c>
      <c r="D313" s="245"/>
      <c r="E313" s="245"/>
      <c r="F313" s="245"/>
      <c r="G313" s="245"/>
      <c r="H313" s="245"/>
      <c r="I313" s="7"/>
      <c r="J313" s="32"/>
      <c r="K313" s="28"/>
      <c r="L313" s="29"/>
      <c r="P313" s="264"/>
      <c r="Q313" s="264"/>
      <c r="R313" s="264"/>
      <c r="S313" s="264"/>
      <c r="T313" s="264"/>
      <c r="U313" s="264"/>
      <c r="V313" s="264"/>
      <c r="W313" s="264"/>
      <c r="X313" s="264"/>
      <c r="Z313" s="30"/>
    </row>
    <row r="314" spans="2:26" ht="13.9" customHeight="1" x14ac:dyDescent="0.2">
      <c r="C314" s="245"/>
      <c r="D314" s="245"/>
      <c r="E314" s="245"/>
      <c r="F314" s="245"/>
      <c r="G314" s="245"/>
      <c r="H314" s="245"/>
      <c r="I314" s="7"/>
      <c r="J314" s="32"/>
      <c r="K314" s="28"/>
      <c r="L314" s="29"/>
      <c r="P314" s="483" t="s">
        <v>446</v>
      </c>
      <c r="Q314" s="483"/>
      <c r="R314" s="483"/>
      <c r="S314" s="483"/>
      <c r="T314" s="483"/>
      <c r="U314" s="483"/>
      <c r="V314" s="483"/>
      <c r="W314" s="483"/>
      <c r="X314" s="483"/>
      <c r="Z314" s="30"/>
    </row>
    <row r="315" spans="2:26" ht="13.9" customHeight="1" x14ac:dyDescent="0.2">
      <c r="C315" s="245"/>
      <c r="D315" s="245"/>
      <c r="E315" s="245"/>
      <c r="F315" s="245"/>
      <c r="G315" s="245"/>
      <c r="H315" s="245"/>
      <c r="I315" s="7"/>
      <c r="J315" s="32"/>
      <c r="K315" s="28"/>
      <c r="L315" s="29"/>
      <c r="P315" s="483"/>
      <c r="Q315" s="483"/>
      <c r="R315" s="483"/>
      <c r="S315" s="483"/>
      <c r="T315" s="483"/>
      <c r="U315" s="483"/>
      <c r="V315" s="483"/>
      <c r="W315" s="483"/>
      <c r="X315" s="483"/>
      <c r="Z315" s="30"/>
    </row>
    <row r="316" spans="2:26" ht="13.9" customHeight="1" thickBot="1" x14ac:dyDescent="0.25">
      <c r="I316" s="7"/>
      <c r="J316" s="32"/>
      <c r="K316" s="28"/>
      <c r="L316" s="29"/>
      <c r="P316" s="265" t="s">
        <v>464</v>
      </c>
      <c r="Q316" s="265"/>
      <c r="R316" s="89" t="s">
        <v>401</v>
      </c>
      <c r="T316" s="89" t="s">
        <v>462</v>
      </c>
      <c r="Z316" s="30"/>
    </row>
    <row r="317" spans="2:26" ht="13.9" customHeight="1" thickTop="1" x14ac:dyDescent="0.2">
      <c r="C317" s="221" t="s">
        <v>306</v>
      </c>
      <c r="D317" s="221"/>
      <c r="E317" s="221"/>
      <c r="F317" s="221"/>
      <c r="G317" s="221"/>
      <c r="H317" s="215"/>
      <c r="I317" s="43"/>
      <c r="J317" s="201" t="str">
        <f>IF(K317="","",IF(K317=30,O17,O24))</f>
        <v/>
      </c>
      <c r="K317" s="203" t="str">
        <f>IF(OR(F320="",G320=""),"",SUM(F321:G321))</f>
        <v/>
      </c>
      <c r="L317" s="29"/>
      <c r="O317" s="311">
        <v>30</v>
      </c>
      <c r="P317" s="265" t="s">
        <v>493</v>
      </c>
      <c r="Q317" s="265"/>
      <c r="R317" s="497" t="s">
        <v>317</v>
      </c>
      <c r="S317" s="1"/>
      <c r="T317" s="497" t="s">
        <v>318</v>
      </c>
      <c r="Z317" s="30"/>
    </row>
    <row r="318" spans="2:26" ht="13.9" customHeight="1" thickBot="1" x14ac:dyDescent="0.25">
      <c r="C318" s="222"/>
      <c r="D318" s="222"/>
      <c r="E318" s="222"/>
      <c r="F318" s="222"/>
      <c r="G318" s="222"/>
      <c r="H318" s="217"/>
      <c r="I318" s="43"/>
      <c r="J318" s="202"/>
      <c r="K318" s="204"/>
      <c r="L318" s="29"/>
      <c r="O318" s="311"/>
      <c r="P318" s="265"/>
      <c r="Q318" s="265"/>
      <c r="R318" s="497"/>
      <c r="S318" s="1"/>
      <c r="T318" s="497"/>
      <c r="Z318" s="30"/>
    </row>
    <row r="319" spans="2:26" ht="13.9" customHeight="1" thickTop="1" x14ac:dyDescent="0.2">
      <c r="I319" s="7"/>
      <c r="J319" s="32"/>
      <c r="K319" s="28"/>
      <c r="L319" s="378" t="str">
        <f>IF(AND(K317="",K295="",K262="",K244="",K222="",K197="",K176=""),"",SUM(K176:K317))</f>
        <v/>
      </c>
      <c r="P319" s="265" t="s">
        <v>494</v>
      </c>
      <c r="Q319" s="265"/>
      <c r="R319" s="1"/>
      <c r="S319" s="1"/>
      <c r="T319" s="1"/>
      <c r="U319" s="1"/>
      <c r="V319" s="89" t="s">
        <v>319</v>
      </c>
      <c r="Z319" s="30"/>
    </row>
    <row r="320" spans="2:26" ht="13.9" customHeight="1" x14ac:dyDescent="0.2">
      <c r="F320" s="12" t="str">
        <f>IF(OR(F310="",H310="",D311="",F311="",H311=""),"",IF(AND(F310="anmol",H310="anmol",OR(D311="(n-an)mol",D311="(n–an)mol",D311="n(1–a)mol",D311="n(1-a)mol"),F311="anmol",H311="anmol"),"G","R"))</f>
        <v/>
      </c>
      <c r="G320" s="12" t="str">
        <f>IF(OR(A942&lt;&gt;"Τουκμενίδης Μηνάς - 3ο ΓΕΛ Αμπελοκήπων, Θεσσαλονίκης",H317=""),"",IF(H317=0.6,"G","R"))</f>
        <v/>
      </c>
      <c r="I320" s="7"/>
      <c r="J320" s="32"/>
      <c r="K320" s="28"/>
      <c r="L320" s="378"/>
      <c r="P320" s="500" t="s">
        <v>321</v>
      </c>
      <c r="Q320" s="500"/>
      <c r="R320" s="92" t="s">
        <v>320</v>
      </c>
      <c r="T320" s="92" t="s">
        <v>319</v>
      </c>
      <c r="V320" s="92" t="s">
        <v>319</v>
      </c>
      <c r="Z320" s="30"/>
    </row>
    <row r="321" spans="1:26" ht="13.9" customHeight="1" x14ac:dyDescent="0.2">
      <c r="A321" s="40"/>
      <c r="B321" s="40"/>
      <c r="C321" s="40"/>
      <c r="D321" s="40"/>
      <c r="E321" s="40"/>
      <c r="F321" s="45" t="str">
        <f>IF(F320&lt;&gt;"G","",8)</f>
        <v/>
      </c>
      <c r="G321" s="45" t="str">
        <f>IF(G320&lt;&gt;"G","",22)</f>
        <v/>
      </c>
      <c r="H321" s="40"/>
      <c r="I321" s="40"/>
      <c r="J321" s="28"/>
      <c r="K321" s="28"/>
      <c r="L321" s="378"/>
      <c r="P321" s="235" t="s">
        <v>447</v>
      </c>
      <c r="Q321" s="235"/>
      <c r="R321" s="235"/>
      <c r="S321" s="235"/>
      <c r="T321" s="235"/>
      <c r="U321" s="235"/>
      <c r="V321" s="235"/>
      <c r="W321" s="235"/>
      <c r="X321" s="235"/>
      <c r="Z321" s="30"/>
    </row>
    <row r="322" spans="1:26" ht="13.9" customHeight="1" x14ac:dyDescent="0.2">
      <c r="A322" s="7"/>
      <c r="B322" s="7"/>
      <c r="C322" s="7"/>
      <c r="D322" s="7"/>
      <c r="E322" s="7"/>
      <c r="F322" s="7"/>
      <c r="G322" s="7"/>
      <c r="H322" s="7"/>
      <c r="I322" s="7"/>
      <c r="J322" s="32"/>
      <c r="K322" s="28"/>
      <c r="L322" s="29"/>
      <c r="P322" s="235"/>
      <c r="Q322" s="235"/>
      <c r="R322" s="235"/>
      <c r="S322" s="235"/>
      <c r="T322" s="235"/>
      <c r="U322" s="235"/>
      <c r="V322" s="235"/>
      <c r="W322" s="235"/>
      <c r="X322" s="235"/>
      <c r="Z322" s="30"/>
    </row>
    <row r="323" spans="1:26" ht="13.9" customHeight="1" x14ac:dyDescent="0.2">
      <c r="A323" s="33" t="s">
        <v>388</v>
      </c>
      <c r="B323" s="245" t="s">
        <v>509</v>
      </c>
      <c r="C323" s="245"/>
      <c r="D323" s="245"/>
      <c r="E323" s="245"/>
      <c r="F323" s="245"/>
      <c r="G323" s="245"/>
      <c r="H323" s="245"/>
      <c r="I323" s="246"/>
      <c r="J323" s="56"/>
      <c r="K323" s="28"/>
      <c r="L323" s="29"/>
      <c r="P323" s="235"/>
      <c r="Q323" s="235"/>
      <c r="R323" s="235"/>
      <c r="S323" s="235"/>
      <c r="T323" s="235"/>
      <c r="U323" s="235"/>
      <c r="V323" s="235"/>
      <c r="W323" s="235"/>
      <c r="X323" s="235"/>
      <c r="Z323" s="30"/>
    </row>
    <row r="324" spans="1:26" ht="13.9" customHeight="1" x14ac:dyDescent="0.2">
      <c r="B324" s="245"/>
      <c r="C324" s="245"/>
      <c r="D324" s="245"/>
      <c r="E324" s="245"/>
      <c r="F324" s="245"/>
      <c r="G324" s="245"/>
      <c r="H324" s="245"/>
      <c r="I324" s="246"/>
      <c r="J324" s="56"/>
      <c r="K324" s="28"/>
      <c r="L324" s="29"/>
      <c r="P324" s="507" t="s">
        <v>150</v>
      </c>
      <c r="Q324" s="507"/>
      <c r="R324" s="507"/>
      <c r="S324" s="507"/>
      <c r="T324" s="507"/>
      <c r="U324" s="507"/>
      <c r="Z324" s="30"/>
    </row>
    <row r="325" spans="1:26" ht="13.9" customHeight="1" x14ac:dyDescent="0.2">
      <c r="B325" s="245"/>
      <c r="C325" s="245"/>
      <c r="D325" s="245"/>
      <c r="E325" s="245"/>
      <c r="F325" s="245"/>
      <c r="G325" s="245"/>
      <c r="H325" s="245"/>
      <c r="I325" s="246"/>
      <c r="J325" s="56"/>
      <c r="K325" s="28"/>
      <c r="L325" s="29"/>
      <c r="P325" s="293" t="s">
        <v>200</v>
      </c>
      <c r="Q325" s="497" t="s">
        <v>151</v>
      </c>
      <c r="R325" s="497"/>
      <c r="S325" s="497"/>
      <c r="T325" s="77" t="s">
        <v>322</v>
      </c>
      <c r="U325" s="508">
        <v>0.6</v>
      </c>
      <c r="Z325" s="30"/>
    </row>
    <row r="326" spans="1:26" ht="13.9" customHeight="1" x14ac:dyDescent="0.2">
      <c r="B326" s="245"/>
      <c r="C326" s="245"/>
      <c r="D326" s="245"/>
      <c r="E326" s="245"/>
      <c r="F326" s="245"/>
      <c r="G326" s="245"/>
      <c r="H326" s="245"/>
      <c r="I326" s="246"/>
      <c r="J326" s="56"/>
      <c r="K326" s="28"/>
      <c r="L326" s="29"/>
      <c r="P326" s="293"/>
      <c r="Q326" s="497" t="s">
        <v>152</v>
      </c>
      <c r="R326" s="497"/>
      <c r="S326" s="497"/>
      <c r="T326" s="77" t="s">
        <v>323</v>
      </c>
      <c r="U326" s="509"/>
      <c r="Z326" s="30"/>
    </row>
    <row r="327" spans="1:26" ht="13.9" customHeight="1" x14ac:dyDescent="0.2">
      <c r="B327" s="245"/>
      <c r="C327" s="245"/>
      <c r="D327" s="245"/>
      <c r="E327" s="245"/>
      <c r="F327" s="245"/>
      <c r="G327" s="245"/>
      <c r="H327" s="245"/>
      <c r="I327" s="246"/>
      <c r="J327" s="56"/>
      <c r="K327" s="28"/>
      <c r="L327" s="29"/>
      <c r="Z327" s="30"/>
    </row>
    <row r="328" spans="1:26" ht="13.9" customHeight="1" x14ac:dyDescent="0.2">
      <c r="B328" s="245"/>
      <c r="C328" s="245"/>
      <c r="D328" s="245"/>
      <c r="E328" s="245"/>
      <c r="F328" s="245"/>
      <c r="G328" s="245"/>
      <c r="H328" s="245"/>
      <c r="I328" s="246"/>
      <c r="J328" s="28"/>
      <c r="K328" s="28"/>
      <c r="L328" s="29"/>
      <c r="P328" s="507" t="s">
        <v>153</v>
      </c>
      <c r="Q328" s="507"/>
      <c r="R328" s="507"/>
      <c r="S328" s="507"/>
      <c r="T328" s="507"/>
      <c r="U328" s="507"/>
      <c r="Z328" s="30"/>
    </row>
    <row r="329" spans="1:26" ht="13.9" customHeight="1" x14ac:dyDescent="0.2">
      <c r="B329" s="245"/>
      <c r="C329" s="245"/>
      <c r="D329" s="245"/>
      <c r="E329" s="245"/>
      <c r="F329" s="245"/>
      <c r="G329" s="245"/>
      <c r="H329" s="245"/>
      <c r="I329" s="246"/>
      <c r="J329" s="28"/>
      <c r="K329" s="28"/>
      <c r="L329" s="29"/>
      <c r="P329" s="499" t="s">
        <v>199</v>
      </c>
      <c r="Q329" s="510" t="s">
        <v>154</v>
      </c>
      <c r="R329" s="510"/>
      <c r="S329" s="510"/>
      <c r="T329" s="510" t="s">
        <v>324</v>
      </c>
      <c r="U329" s="508">
        <v>0.6</v>
      </c>
      <c r="Z329" s="30"/>
    </row>
    <row r="330" spans="1:26" ht="13.9" customHeight="1" x14ac:dyDescent="0.2">
      <c r="I330" s="7"/>
      <c r="J330" s="32"/>
      <c r="K330" s="28"/>
      <c r="L330" s="29"/>
      <c r="P330" s="499"/>
      <c r="Q330" s="510"/>
      <c r="R330" s="510"/>
      <c r="S330" s="510"/>
      <c r="T330" s="510"/>
      <c r="U330" s="509"/>
      <c r="Z330" s="30"/>
    </row>
    <row r="331" spans="1:26" ht="18" customHeight="1" x14ac:dyDescent="0.2">
      <c r="B331" s="35" t="s">
        <v>340</v>
      </c>
      <c r="C331" s="47" t="s">
        <v>228</v>
      </c>
      <c r="D331" s="69" t="s">
        <v>351</v>
      </c>
      <c r="E331" s="145" t="s">
        <v>231</v>
      </c>
      <c r="F331" s="50" t="s">
        <v>368</v>
      </c>
      <c r="G331" s="145" t="s">
        <v>232</v>
      </c>
      <c r="H331" s="416" t="s">
        <v>197</v>
      </c>
      <c r="I331" s="417"/>
      <c r="J331" s="28"/>
      <c r="K331" s="28"/>
      <c r="L331" s="29"/>
      <c r="P331" s="499"/>
      <c r="Q331" s="511" t="s">
        <v>155</v>
      </c>
      <c r="R331" s="511"/>
      <c r="S331" s="511"/>
      <c r="T331" s="93" t="s">
        <v>498</v>
      </c>
      <c r="U331" s="509"/>
      <c r="Z331" s="30"/>
    </row>
    <row r="332" spans="1:26" ht="13.9" customHeight="1" x14ac:dyDescent="0.2">
      <c r="I332" s="7"/>
      <c r="J332" s="32"/>
      <c r="K332" s="28"/>
      <c r="L332" s="29"/>
      <c r="Z332" s="30"/>
    </row>
    <row r="333" spans="1:26" ht="13.9" customHeight="1" x14ac:dyDescent="0.2">
      <c r="C333" s="245" t="s">
        <v>251</v>
      </c>
      <c r="D333" s="245"/>
      <c r="E333" s="245"/>
      <c r="F333" s="245"/>
      <c r="G333" s="245"/>
      <c r="H333" s="245"/>
      <c r="I333" s="7"/>
      <c r="J333" s="32"/>
      <c r="K333" s="28"/>
      <c r="L333" s="29"/>
      <c r="P333" s="507" t="s">
        <v>156</v>
      </c>
      <c r="Q333" s="507"/>
      <c r="R333" s="507"/>
      <c r="S333" s="507"/>
      <c r="T333" s="507"/>
      <c r="U333" s="507"/>
      <c r="Z333" s="30"/>
    </row>
    <row r="334" spans="1:26" ht="13.9" customHeight="1" x14ac:dyDescent="0.2">
      <c r="C334" s="245"/>
      <c r="D334" s="245"/>
      <c r="E334" s="245"/>
      <c r="F334" s="245"/>
      <c r="G334" s="245"/>
      <c r="H334" s="245"/>
      <c r="I334" s="7"/>
      <c r="J334" s="32"/>
      <c r="K334" s="28"/>
      <c r="L334" s="29"/>
      <c r="P334" s="499" t="s">
        <v>201</v>
      </c>
      <c r="Q334" s="497" t="s">
        <v>157</v>
      </c>
      <c r="R334" s="497"/>
      <c r="S334" s="497"/>
      <c r="T334" s="497" t="s">
        <v>325</v>
      </c>
      <c r="U334" s="508">
        <v>0.6</v>
      </c>
      <c r="Z334" s="30"/>
    </row>
    <row r="335" spans="1:26" ht="13.9" customHeight="1" x14ac:dyDescent="0.2">
      <c r="C335" s="245"/>
      <c r="D335" s="245"/>
      <c r="E335" s="245"/>
      <c r="F335" s="245"/>
      <c r="G335" s="245"/>
      <c r="H335" s="245"/>
      <c r="I335" s="7"/>
      <c r="J335" s="32"/>
      <c r="K335" s="28"/>
      <c r="L335" s="29"/>
      <c r="P335" s="499"/>
      <c r="Q335" s="497"/>
      <c r="R335" s="497"/>
      <c r="S335" s="497"/>
      <c r="T335" s="497"/>
      <c r="U335" s="509"/>
      <c r="Z335" s="30"/>
    </row>
    <row r="336" spans="1:26" ht="13.9" customHeight="1" x14ac:dyDescent="0.2">
      <c r="I336" s="7"/>
      <c r="J336" s="32"/>
      <c r="K336" s="28"/>
      <c r="L336" s="29"/>
      <c r="P336" s="499"/>
      <c r="Q336" s="497" t="s">
        <v>158</v>
      </c>
      <c r="R336" s="497"/>
      <c r="S336" s="497"/>
      <c r="T336" s="77" t="s">
        <v>326</v>
      </c>
      <c r="U336" s="509"/>
      <c r="Z336" s="30"/>
    </row>
    <row r="337" spans="1:26" ht="16.149999999999999" customHeight="1" x14ac:dyDescent="0.2">
      <c r="B337" s="94" t="s">
        <v>456</v>
      </c>
      <c r="C337" s="432" t="s">
        <v>233</v>
      </c>
      <c r="D337" s="433"/>
      <c r="E337" s="433"/>
      <c r="F337" s="433"/>
      <c r="G337" s="434"/>
      <c r="I337" s="7"/>
      <c r="J337" s="32"/>
      <c r="K337" s="28"/>
      <c r="L337" s="29"/>
      <c r="Z337" s="30"/>
    </row>
    <row r="338" spans="1:26" ht="13.9" customHeight="1" x14ac:dyDescent="0.2">
      <c r="I338" s="7"/>
      <c r="J338" s="32"/>
      <c r="K338" s="28"/>
      <c r="L338" s="29"/>
      <c r="Z338" s="30"/>
    </row>
    <row r="339" spans="1:26" ht="13.9" customHeight="1" thickBot="1" x14ac:dyDescent="0.25">
      <c r="C339" s="388" t="s">
        <v>389</v>
      </c>
      <c r="D339" s="389"/>
      <c r="I339" s="7"/>
      <c r="J339" s="32"/>
      <c r="K339" s="28"/>
      <c r="L339" s="29"/>
      <c r="Z339" s="30"/>
    </row>
    <row r="340" spans="1:26" ht="16.149999999999999" customHeight="1" thickTop="1" thickBot="1" x14ac:dyDescent="0.25">
      <c r="A340" s="25" t="str">
        <f>IF(G340="","",IF(OR(G340="A",G340="Α"),"G","R"))</f>
        <v/>
      </c>
      <c r="C340" s="367" t="s">
        <v>244</v>
      </c>
      <c r="D340" s="367"/>
      <c r="E340" s="367"/>
      <c r="F340" s="367"/>
      <c r="G340" s="172"/>
      <c r="I340" s="7"/>
      <c r="J340" s="32"/>
      <c r="K340" s="28"/>
      <c r="L340" s="29"/>
      <c r="P340" s="235" t="s">
        <v>448</v>
      </c>
      <c r="Q340" s="235"/>
      <c r="R340" s="235"/>
      <c r="S340" s="235"/>
      <c r="T340" s="235"/>
      <c r="U340" s="235"/>
      <c r="V340" s="235"/>
      <c r="W340" s="235"/>
      <c r="X340" s="235"/>
      <c r="Z340" s="30"/>
    </row>
    <row r="341" spans="1:26" ht="13.9" customHeight="1" thickTop="1" x14ac:dyDescent="0.2">
      <c r="I341" s="7"/>
      <c r="J341" s="32"/>
      <c r="K341" s="28"/>
      <c r="L341" s="29"/>
      <c r="P341" s="235"/>
      <c r="Q341" s="235"/>
      <c r="R341" s="235"/>
      <c r="S341" s="235"/>
      <c r="T341" s="235"/>
      <c r="U341" s="235"/>
      <c r="V341" s="235"/>
      <c r="W341" s="235"/>
      <c r="X341" s="235"/>
      <c r="Z341" s="30"/>
    </row>
    <row r="342" spans="1:26" ht="16.149999999999999" customHeight="1" x14ac:dyDescent="0.2">
      <c r="B342" s="94" t="s">
        <v>456</v>
      </c>
      <c r="C342" s="432" t="s">
        <v>234</v>
      </c>
      <c r="D342" s="433"/>
      <c r="E342" s="433"/>
      <c r="F342" s="433"/>
      <c r="G342" s="434"/>
      <c r="I342" s="7"/>
      <c r="J342" s="32"/>
      <c r="K342" s="28"/>
      <c r="L342" s="29"/>
      <c r="P342" s="235"/>
      <c r="Q342" s="235"/>
      <c r="R342" s="235"/>
      <c r="S342" s="235"/>
      <c r="T342" s="235"/>
      <c r="U342" s="235"/>
      <c r="V342" s="235"/>
      <c r="W342" s="235"/>
      <c r="X342" s="235"/>
      <c r="Z342" s="30"/>
    </row>
    <row r="343" spans="1:26" ht="13.9" customHeight="1" x14ac:dyDescent="0.2">
      <c r="I343" s="7"/>
      <c r="J343" s="32"/>
      <c r="K343" s="28"/>
      <c r="L343" s="29"/>
      <c r="P343" s="235"/>
      <c r="Q343" s="235"/>
      <c r="R343" s="235"/>
      <c r="S343" s="235"/>
      <c r="T343" s="235"/>
      <c r="U343" s="235"/>
      <c r="V343" s="235"/>
      <c r="W343" s="235"/>
      <c r="X343" s="235"/>
      <c r="Z343" s="30"/>
    </row>
    <row r="344" spans="1:26" ht="13.9" customHeight="1" thickBot="1" x14ac:dyDescent="0.25">
      <c r="C344" s="388" t="s">
        <v>389</v>
      </c>
      <c r="D344" s="389"/>
      <c r="I344" s="7"/>
      <c r="J344" s="32"/>
      <c r="K344" s="28"/>
      <c r="L344" s="29"/>
      <c r="P344" s="235"/>
      <c r="Q344" s="235"/>
      <c r="R344" s="235"/>
      <c r="S344" s="235"/>
      <c r="T344" s="235"/>
      <c r="U344" s="235"/>
      <c r="V344" s="235"/>
      <c r="W344" s="235"/>
      <c r="X344" s="235"/>
      <c r="Z344" s="30"/>
    </row>
    <row r="345" spans="1:26" ht="16.149999999999999" customHeight="1" thickTop="1" thickBot="1" x14ac:dyDescent="0.25">
      <c r="A345" s="25" t="str">
        <f>IF(G345="","",IF(OR(G345="A",G345="Α"),"G","R"))</f>
        <v/>
      </c>
      <c r="C345" s="367" t="s">
        <v>245</v>
      </c>
      <c r="D345" s="367"/>
      <c r="E345" s="367"/>
      <c r="F345" s="367"/>
      <c r="G345" s="172"/>
      <c r="I345" s="7"/>
      <c r="J345" s="32"/>
      <c r="K345" s="28"/>
      <c r="L345" s="29"/>
      <c r="Z345" s="30"/>
    </row>
    <row r="346" spans="1:26" ht="13.9" customHeight="1" thickTop="1" x14ac:dyDescent="0.2">
      <c r="I346" s="7"/>
      <c r="J346" s="32"/>
      <c r="K346" s="28"/>
      <c r="L346" s="29"/>
      <c r="Z346" s="30"/>
    </row>
    <row r="347" spans="1:26" ht="13.9" customHeight="1" x14ac:dyDescent="0.2">
      <c r="B347" s="94" t="s">
        <v>456</v>
      </c>
      <c r="C347" s="402" t="s">
        <v>235</v>
      </c>
      <c r="D347" s="403"/>
      <c r="E347" s="403"/>
      <c r="F347" s="403"/>
      <c r="G347" s="403"/>
      <c r="H347" s="404"/>
      <c r="I347" s="7"/>
      <c r="J347" s="32"/>
      <c r="K347" s="28"/>
      <c r="L347" s="29"/>
      <c r="Z347" s="30"/>
    </row>
    <row r="348" spans="1:26" ht="13.9" customHeight="1" x14ac:dyDescent="0.2">
      <c r="I348" s="7"/>
      <c r="J348" s="32"/>
      <c r="K348" s="28"/>
      <c r="L348" s="29"/>
      <c r="Z348" s="30"/>
    </row>
    <row r="349" spans="1:26" ht="16.149999999999999" customHeight="1" thickBot="1" x14ac:dyDescent="0.25">
      <c r="C349" s="388" t="s">
        <v>389</v>
      </c>
      <c r="D349" s="389"/>
      <c r="I349" s="7"/>
      <c r="J349" s="32"/>
      <c r="K349" s="28"/>
      <c r="L349" s="29"/>
      <c r="Z349" s="30"/>
    </row>
    <row r="350" spans="1:26" ht="16.149999999999999" customHeight="1" thickTop="1" thickBot="1" x14ac:dyDescent="0.25">
      <c r="A350" s="25" t="str">
        <f>IF(G350="","",IF(OR(G350="M",G350="Μ"),"G","R"))</f>
        <v/>
      </c>
      <c r="C350" s="367" t="s">
        <v>244</v>
      </c>
      <c r="D350" s="367"/>
      <c r="E350" s="367"/>
      <c r="F350" s="367"/>
      <c r="G350" s="172"/>
      <c r="I350" s="7"/>
      <c r="J350" s="32"/>
      <c r="K350" s="28"/>
      <c r="L350" s="29"/>
      <c r="Z350" s="30"/>
    </row>
    <row r="351" spans="1:26" ht="13.9" customHeight="1" thickTop="1" x14ac:dyDescent="0.2">
      <c r="I351" s="7"/>
      <c r="J351" s="32"/>
      <c r="K351" s="28"/>
      <c r="L351" s="29"/>
      <c r="Z351" s="30"/>
    </row>
    <row r="352" spans="1:26" ht="13.9" customHeight="1" x14ac:dyDescent="0.2">
      <c r="B352" s="94" t="s">
        <v>456</v>
      </c>
      <c r="C352" s="402" t="s">
        <v>236</v>
      </c>
      <c r="D352" s="403"/>
      <c r="E352" s="403"/>
      <c r="F352" s="403"/>
      <c r="G352" s="403"/>
      <c r="H352" s="404"/>
      <c r="I352" s="7"/>
      <c r="J352" s="32"/>
      <c r="K352" s="28"/>
      <c r="L352" s="29"/>
      <c r="Z352" s="30"/>
    </row>
    <row r="353" spans="1:26" ht="13.9" customHeight="1" x14ac:dyDescent="0.2">
      <c r="I353" s="7"/>
      <c r="J353" s="32"/>
      <c r="K353" s="28"/>
      <c r="L353" s="29"/>
      <c r="Z353" s="30"/>
    </row>
    <row r="354" spans="1:26" ht="13.9" customHeight="1" thickBot="1" x14ac:dyDescent="0.25">
      <c r="C354" s="388" t="s">
        <v>389</v>
      </c>
      <c r="D354" s="389"/>
      <c r="I354" s="7"/>
      <c r="J354" s="32"/>
      <c r="K354" s="28"/>
      <c r="L354" s="29"/>
      <c r="Z354" s="30"/>
    </row>
    <row r="355" spans="1:26" ht="16.149999999999999" customHeight="1" thickTop="1" thickBot="1" x14ac:dyDescent="0.25">
      <c r="A355" s="25" t="str">
        <f>IF(G355="","",IF(OR(G355="M",G355="Μ"),"G","R"))</f>
        <v/>
      </c>
      <c r="C355" s="367" t="s">
        <v>246</v>
      </c>
      <c r="D355" s="367"/>
      <c r="E355" s="367"/>
      <c r="F355" s="367"/>
      <c r="G355" s="172"/>
      <c r="I355" s="7"/>
      <c r="J355" s="32"/>
      <c r="K355" s="28"/>
      <c r="L355" s="29"/>
      <c r="Z355" s="30"/>
    </row>
    <row r="356" spans="1:26" ht="13.9" customHeight="1" thickTop="1" x14ac:dyDescent="0.2">
      <c r="I356" s="7"/>
      <c r="J356" s="32"/>
      <c r="K356" s="28"/>
      <c r="L356" s="29"/>
      <c r="Z356" s="30"/>
    </row>
    <row r="357" spans="1:26" ht="13.9" customHeight="1" x14ac:dyDescent="0.2">
      <c r="B357" s="94" t="s">
        <v>456</v>
      </c>
      <c r="C357" s="412" t="s">
        <v>237</v>
      </c>
      <c r="D357" s="406"/>
      <c r="E357" s="406"/>
      <c r="F357" s="406"/>
      <c r="G357" s="406"/>
      <c r="H357" s="407"/>
      <c r="I357" s="7"/>
      <c r="J357" s="32"/>
      <c r="K357" s="28"/>
      <c r="L357" s="29"/>
      <c r="Z357" s="30"/>
    </row>
    <row r="358" spans="1:26" ht="13.9" customHeight="1" x14ac:dyDescent="0.2">
      <c r="C358" s="413"/>
      <c r="D358" s="414"/>
      <c r="E358" s="414"/>
      <c r="F358" s="414"/>
      <c r="G358" s="414"/>
      <c r="H358" s="415"/>
      <c r="I358" s="7"/>
      <c r="J358" s="32"/>
      <c r="K358" s="28"/>
      <c r="L358" s="29"/>
      <c r="Z358" s="30"/>
    </row>
    <row r="359" spans="1:26" ht="13.9" customHeight="1" x14ac:dyDescent="0.2">
      <c r="C359" s="408"/>
      <c r="D359" s="409"/>
      <c r="E359" s="409"/>
      <c r="F359" s="409"/>
      <c r="G359" s="409"/>
      <c r="H359" s="410"/>
      <c r="I359" s="7"/>
      <c r="J359" s="32"/>
      <c r="K359" s="28"/>
      <c r="L359" s="29"/>
      <c r="Z359" s="30"/>
    </row>
    <row r="360" spans="1:26" ht="13.9" customHeight="1" thickBot="1" x14ac:dyDescent="0.25">
      <c r="I360" s="7"/>
      <c r="J360" s="32"/>
      <c r="K360" s="28"/>
      <c r="L360" s="29"/>
      <c r="Z360" s="30"/>
    </row>
    <row r="361" spans="1:26" ht="13.9" customHeight="1" thickBot="1" x14ac:dyDescent="0.25">
      <c r="C361" s="388" t="s">
        <v>389</v>
      </c>
      <c r="D361" s="389"/>
      <c r="I361" s="43"/>
      <c r="J361" s="201" t="str">
        <f>IF(K361="","",IF(K361=30,O17,O24))</f>
        <v/>
      </c>
      <c r="K361" s="203" t="str">
        <f>IF(OR(A340="",A345="",A350="",A355="",A362=""),"",SUM(C364:G364))</f>
        <v/>
      </c>
      <c r="L361" s="29"/>
      <c r="O361" s="311">
        <v>30</v>
      </c>
      <c r="Z361" s="30"/>
    </row>
    <row r="362" spans="1:26" ht="16.149999999999999" customHeight="1" thickTop="1" thickBot="1" x14ac:dyDescent="0.25">
      <c r="A362" s="25" t="str">
        <f>IF(G362="","",IF(G362="Σ","G","R"))</f>
        <v/>
      </c>
      <c r="C362" s="367" t="s">
        <v>244</v>
      </c>
      <c r="D362" s="367"/>
      <c r="E362" s="367"/>
      <c r="F362" s="367"/>
      <c r="G362" s="172"/>
      <c r="I362" s="43"/>
      <c r="J362" s="202"/>
      <c r="K362" s="204"/>
      <c r="L362" s="29"/>
      <c r="O362" s="311"/>
      <c r="Z362" s="30"/>
    </row>
    <row r="363" spans="1:26" ht="13.9" customHeight="1" thickTop="1" x14ac:dyDescent="0.2">
      <c r="I363" s="7"/>
      <c r="J363" s="32"/>
      <c r="K363" s="28"/>
      <c r="L363" s="29"/>
      <c r="Z363" s="30"/>
    </row>
    <row r="364" spans="1:26" ht="13.9" customHeight="1" x14ac:dyDescent="0.2">
      <c r="A364" s="40"/>
      <c r="B364" s="40"/>
      <c r="C364" s="45" t="str">
        <f>IF(A340&lt;&gt;"G","",6)</f>
        <v/>
      </c>
      <c r="D364" s="45" t="str">
        <f>IF(A345&lt;&gt;"G","",6)</f>
        <v/>
      </c>
      <c r="E364" s="45" t="str">
        <f>IF(A350&lt;&gt;"G","",6)</f>
        <v/>
      </c>
      <c r="F364" s="45" t="str">
        <f>IF(A355&lt;&gt;"G","",6)</f>
        <v/>
      </c>
      <c r="G364" s="45" t="str">
        <f>IF(A362&lt;&gt;"G","",6)</f>
        <v/>
      </c>
      <c r="H364" s="40"/>
      <c r="I364" s="40"/>
      <c r="J364" s="28"/>
      <c r="K364" s="28"/>
      <c r="L364" s="29"/>
      <c r="Z364" s="30"/>
    </row>
    <row r="365" spans="1:26" ht="13.9" customHeight="1" x14ac:dyDescent="0.2">
      <c r="I365" s="7"/>
      <c r="J365" s="32"/>
      <c r="K365" s="28"/>
      <c r="L365" s="29"/>
      <c r="Z365" s="30"/>
    </row>
    <row r="366" spans="1:26" ht="18" customHeight="1" x14ac:dyDescent="0.2">
      <c r="B366" s="35" t="s">
        <v>341</v>
      </c>
      <c r="C366" s="47" t="s">
        <v>309</v>
      </c>
      <c r="D366" s="69" t="s">
        <v>351</v>
      </c>
      <c r="E366" s="95" t="s">
        <v>254</v>
      </c>
      <c r="F366" s="50" t="s">
        <v>368</v>
      </c>
      <c r="G366" s="145" t="s">
        <v>255</v>
      </c>
      <c r="H366" s="416" t="s">
        <v>391</v>
      </c>
      <c r="I366" s="417"/>
      <c r="J366" s="28"/>
      <c r="K366" s="28"/>
      <c r="L366" s="29"/>
      <c r="Z366" s="30"/>
    </row>
    <row r="367" spans="1:26" ht="13.9" customHeight="1" x14ac:dyDescent="0.2">
      <c r="I367" s="7"/>
      <c r="J367" s="32"/>
      <c r="K367" s="28"/>
      <c r="L367" s="29"/>
      <c r="Z367" s="30"/>
    </row>
    <row r="368" spans="1:26" ht="13.9" customHeight="1" x14ac:dyDescent="0.2">
      <c r="C368" s="245" t="s">
        <v>251</v>
      </c>
      <c r="D368" s="245"/>
      <c r="E368" s="245"/>
      <c r="F368" s="245"/>
      <c r="G368" s="245"/>
      <c r="H368" s="245"/>
      <c r="I368" s="7"/>
      <c r="J368" s="32"/>
      <c r="K368" s="28"/>
      <c r="L368" s="29"/>
      <c r="Z368" s="30"/>
    </row>
    <row r="369" spans="1:26" ht="13.9" customHeight="1" x14ac:dyDescent="0.2">
      <c r="C369" s="245"/>
      <c r="D369" s="245"/>
      <c r="E369" s="245"/>
      <c r="F369" s="245"/>
      <c r="G369" s="245"/>
      <c r="H369" s="245"/>
      <c r="I369" s="7"/>
      <c r="J369" s="32"/>
      <c r="K369" s="28"/>
      <c r="L369" s="29"/>
      <c r="Z369" s="30"/>
    </row>
    <row r="370" spans="1:26" ht="13.9" customHeight="1" x14ac:dyDescent="0.2">
      <c r="C370" s="245"/>
      <c r="D370" s="245"/>
      <c r="E370" s="245"/>
      <c r="F370" s="245"/>
      <c r="G370" s="245"/>
      <c r="H370" s="245"/>
      <c r="I370" s="7"/>
      <c r="J370" s="32"/>
      <c r="K370" s="28"/>
      <c r="L370" s="29"/>
      <c r="Z370" s="30"/>
    </row>
    <row r="371" spans="1:26" ht="13.9" customHeight="1" x14ac:dyDescent="0.2">
      <c r="I371" s="7"/>
      <c r="J371" s="32"/>
      <c r="K371" s="28"/>
      <c r="L371" s="29"/>
      <c r="Z371" s="30"/>
    </row>
    <row r="372" spans="1:26" ht="16.149999999999999" customHeight="1" x14ac:dyDescent="0.2">
      <c r="B372" s="94" t="s">
        <v>456</v>
      </c>
      <c r="C372" s="402" t="s">
        <v>525</v>
      </c>
      <c r="D372" s="400"/>
      <c r="E372" s="400"/>
      <c r="F372" s="400"/>
      <c r="G372" s="401"/>
      <c r="I372" s="7"/>
      <c r="J372" s="32"/>
      <c r="K372" s="28"/>
      <c r="L372" s="29"/>
      <c r="Z372" s="30"/>
    </row>
    <row r="373" spans="1:26" ht="13.9" customHeight="1" x14ac:dyDescent="0.2">
      <c r="I373" s="7"/>
      <c r="J373" s="32"/>
      <c r="K373" s="28"/>
      <c r="L373" s="29"/>
      <c r="Z373" s="30"/>
    </row>
    <row r="374" spans="1:26" ht="13.9" customHeight="1" thickBot="1" x14ac:dyDescent="0.25">
      <c r="C374" s="388" t="s">
        <v>389</v>
      </c>
      <c r="D374" s="389"/>
      <c r="I374" s="7"/>
      <c r="J374" s="32"/>
      <c r="K374" s="28"/>
      <c r="L374" s="29"/>
      <c r="Z374" s="30"/>
    </row>
    <row r="375" spans="1:26" ht="16.149999999999999" customHeight="1" thickTop="1" thickBot="1" x14ac:dyDescent="0.25">
      <c r="A375" s="12" t="str">
        <f>IF(G375="","",IF(OR(G375="A",G375="Α"),"G","R"))</f>
        <v/>
      </c>
      <c r="C375" s="367" t="s">
        <v>246</v>
      </c>
      <c r="D375" s="367"/>
      <c r="E375" s="367"/>
      <c r="F375" s="367"/>
      <c r="G375" s="172"/>
      <c r="I375" s="7"/>
      <c r="J375" s="32"/>
      <c r="K375" s="28"/>
      <c r="L375" s="29"/>
      <c r="Z375" s="30"/>
    </row>
    <row r="376" spans="1:26" ht="13.9" customHeight="1" thickTop="1" x14ac:dyDescent="0.2">
      <c r="I376" s="7"/>
      <c r="J376" s="32"/>
      <c r="K376" s="28"/>
      <c r="L376" s="29"/>
      <c r="Z376" s="30"/>
    </row>
    <row r="377" spans="1:26" ht="16.149999999999999" customHeight="1" x14ac:dyDescent="0.2">
      <c r="B377" s="94" t="s">
        <v>456</v>
      </c>
      <c r="C377" s="402" t="s">
        <v>238</v>
      </c>
      <c r="D377" s="400"/>
      <c r="E377" s="400"/>
      <c r="F377" s="400"/>
      <c r="G377" s="401"/>
      <c r="I377" s="7"/>
      <c r="J377" s="32"/>
      <c r="K377" s="28"/>
      <c r="L377" s="29"/>
      <c r="Z377" s="30"/>
    </row>
    <row r="378" spans="1:26" ht="13.9" customHeight="1" x14ac:dyDescent="0.2">
      <c r="B378" s="94"/>
      <c r="I378" s="7"/>
      <c r="J378" s="32"/>
      <c r="K378" s="28"/>
      <c r="L378" s="29"/>
      <c r="Z378" s="30"/>
    </row>
    <row r="379" spans="1:26" ht="13.9" customHeight="1" thickBot="1" x14ac:dyDescent="0.25">
      <c r="C379" s="388" t="s">
        <v>389</v>
      </c>
      <c r="D379" s="389"/>
      <c r="I379" s="7"/>
      <c r="J379" s="32"/>
      <c r="K379" s="28"/>
      <c r="L379" s="29"/>
      <c r="Z379" s="30"/>
    </row>
    <row r="380" spans="1:26" ht="16.149999999999999" customHeight="1" thickTop="1" thickBot="1" x14ac:dyDescent="0.25">
      <c r="A380" s="12" t="str">
        <f>IF(G380="","",IF(OR(G380="M",G380="Μ"),"G","R"))</f>
        <v/>
      </c>
      <c r="C380" s="367" t="s">
        <v>247</v>
      </c>
      <c r="D380" s="367"/>
      <c r="E380" s="367"/>
      <c r="F380" s="367"/>
      <c r="G380" s="172"/>
      <c r="I380" s="7"/>
      <c r="J380" s="32"/>
      <c r="K380" s="28"/>
      <c r="L380" s="29"/>
      <c r="Z380" s="30"/>
    </row>
    <row r="381" spans="1:26" ht="13.9" customHeight="1" thickTop="1" x14ac:dyDescent="0.2">
      <c r="I381" s="7"/>
      <c r="J381" s="32"/>
      <c r="K381" s="28"/>
      <c r="L381" s="29"/>
      <c r="Z381" s="30"/>
    </row>
    <row r="382" spans="1:26" ht="13.9" customHeight="1" x14ac:dyDescent="0.2">
      <c r="B382" s="94" t="s">
        <v>456</v>
      </c>
      <c r="C382" s="399" t="s">
        <v>239</v>
      </c>
      <c r="D382" s="400"/>
      <c r="E382" s="400"/>
      <c r="F382" s="400"/>
      <c r="G382" s="401"/>
      <c r="I382" s="7"/>
      <c r="J382" s="32"/>
      <c r="K382" s="28"/>
      <c r="L382" s="29"/>
      <c r="Z382" s="30"/>
    </row>
    <row r="383" spans="1:26" ht="13.9" customHeight="1" x14ac:dyDescent="0.2">
      <c r="I383" s="7"/>
      <c r="J383" s="32"/>
      <c r="K383" s="28"/>
      <c r="L383" s="29"/>
      <c r="Z383" s="30"/>
    </row>
    <row r="384" spans="1:26" ht="13.9" customHeight="1" thickBot="1" x14ac:dyDescent="0.25">
      <c r="C384" s="388" t="s">
        <v>389</v>
      </c>
      <c r="D384" s="389"/>
      <c r="I384" s="7"/>
      <c r="J384" s="32"/>
      <c r="K384" s="28"/>
      <c r="L384" s="29"/>
      <c r="Z384" s="30"/>
    </row>
    <row r="385" spans="1:26" ht="16.149999999999999" customHeight="1" thickTop="1" thickBot="1" x14ac:dyDescent="0.25">
      <c r="A385" s="12" t="str">
        <f>IF(G385="","",IF(OR(G385="M",G385="Μ"),"G","R"))</f>
        <v/>
      </c>
      <c r="C385" s="367" t="s">
        <v>247</v>
      </c>
      <c r="D385" s="367"/>
      <c r="E385" s="367"/>
      <c r="F385" s="367"/>
      <c r="G385" s="172"/>
      <c r="I385" s="7"/>
      <c r="J385" s="32"/>
      <c r="K385" s="28"/>
      <c r="L385" s="29"/>
      <c r="Z385" s="30"/>
    </row>
    <row r="386" spans="1:26" ht="13.9" customHeight="1" thickTop="1" x14ac:dyDescent="0.2">
      <c r="I386" s="7"/>
      <c r="J386" s="32"/>
      <c r="K386" s="28"/>
      <c r="L386" s="29"/>
      <c r="Z386" s="30"/>
    </row>
    <row r="387" spans="1:26" ht="13.9" customHeight="1" x14ac:dyDescent="0.2">
      <c r="B387" s="94" t="s">
        <v>456</v>
      </c>
      <c r="C387" s="402" t="s">
        <v>236</v>
      </c>
      <c r="D387" s="403"/>
      <c r="E387" s="403"/>
      <c r="F387" s="403"/>
      <c r="G387" s="403"/>
      <c r="H387" s="404"/>
      <c r="I387" s="7"/>
      <c r="J387" s="32"/>
      <c r="K387" s="28"/>
      <c r="L387" s="29"/>
      <c r="Z387" s="30"/>
    </row>
    <row r="388" spans="1:26" ht="13.9" customHeight="1" x14ac:dyDescent="0.2">
      <c r="I388" s="7"/>
      <c r="J388" s="32"/>
      <c r="K388" s="28"/>
      <c r="L388" s="29"/>
      <c r="Z388" s="30"/>
    </row>
    <row r="389" spans="1:26" ht="13.9" customHeight="1" thickBot="1" x14ac:dyDescent="0.25">
      <c r="C389" s="388" t="s">
        <v>389</v>
      </c>
      <c r="D389" s="389"/>
      <c r="I389" s="7"/>
      <c r="J389" s="32"/>
      <c r="K389" s="28"/>
      <c r="L389" s="29"/>
      <c r="Z389" s="30"/>
    </row>
    <row r="390" spans="1:26" ht="16.149999999999999" customHeight="1" thickTop="1" thickBot="1" x14ac:dyDescent="0.25">
      <c r="A390" s="12" t="str">
        <f>IF(G390="","",IF(G390="Σ","G","R"))</f>
        <v/>
      </c>
      <c r="C390" s="367" t="s">
        <v>246</v>
      </c>
      <c r="D390" s="367"/>
      <c r="E390" s="367"/>
      <c r="F390" s="367"/>
      <c r="G390" s="172"/>
      <c r="I390" s="7"/>
      <c r="J390" s="32"/>
      <c r="K390" s="28"/>
      <c r="L390" s="29"/>
      <c r="Z390" s="30"/>
    </row>
    <row r="391" spans="1:26" ht="13.9" customHeight="1" thickTop="1" x14ac:dyDescent="0.2">
      <c r="I391" s="7"/>
      <c r="J391" s="32"/>
      <c r="K391" s="28"/>
      <c r="L391" s="29"/>
      <c r="Z391" s="30"/>
    </row>
    <row r="392" spans="1:26" ht="13.9" customHeight="1" x14ac:dyDescent="0.2">
      <c r="B392" s="94" t="s">
        <v>456</v>
      </c>
      <c r="C392" s="412" t="s">
        <v>240</v>
      </c>
      <c r="D392" s="406"/>
      <c r="E392" s="406"/>
      <c r="F392" s="406"/>
      <c r="G392" s="406"/>
      <c r="H392" s="407"/>
      <c r="I392" s="7"/>
      <c r="J392" s="32"/>
      <c r="K392" s="28"/>
      <c r="L392" s="29"/>
      <c r="Z392" s="30"/>
    </row>
    <row r="393" spans="1:26" ht="13.9" customHeight="1" x14ac:dyDescent="0.2">
      <c r="C393" s="413"/>
      <c r="D393" s="414"/>
      <c r="E393" s="414"/>
      <c r="F393" s="414"/>
      <c r="G393" s="414"/>
      <c r="H393" s="415"/>
      <c r="I393" s="7"/>
      <c r="J393" s="32"/>
      <c r="K393" s="28"/>
      <c r="L393" s="29"/>
      <c r="Z393" s="30"/>
    </row>
    <row r="394" spans="1:26" ht="13.9" customHeight="1" x14ac:dyDescent="0.2">
      <c r="C394" s="408"/>
      <c r="D394" s="409"/>
      <c r="E394" s="409"/>
      <c r="F394" s="409"/>
      <c r="G394" s="409"/>
      <c r="H394" s="410"/>
      <c r="I394" s="7"/>
      <c r="J394" s="32"/>
      <c r="K394" s="28"/>
      <c r="L394" s="29"/>
      <c r="Z394" s="30"/>
    </row>
    <row r="395" spans="1:26" ht="13.9" customHeight="1" thickBot="1" x14ac:dyDescent="0.25">
      <c r="I395" s="7"/>
      <c r="J395" s="32"/>
      <c r="K395" s="28"/>
      <c r="L395" s="29"/>
      <c r="Z395" s="30"/>
    </row>
    <row r="396" spans="1:26" ht="13.9" customHeight="1" thickBot="1" x14ac:dyDescent="0.25">
      <c r="C396" s="388" t="s">
        <v>389</v>
      </c>
      <c r="D396" s="389"/>
      <c r="I396" s="43"/>
      <c r="J396" s="201" t="str">
        <f>IF(K396="","",IF(K396=30,O17,O24))</f>
        <v/>
      </c>
      <c r="K396" s="203" t="str">
        <f>IF(OR(A375="",A380="",A385="",A390="",A397=""),"",SUM(C399:G399))</f>
        <v/>
      </c>
      <c r="L396" s="29"/>
      <c r="O396" s="311">
        <v>30</v>
      </c>
      <c r="Z396" s="30"/>
    </row>
    <row r="397" spans="1:26" ht="16.149999999999999" customHeight="1" thickTop="1" thickBot="1" x14ac:dyDescent="0.25">
      <c r="A397" s="12" t="str">
        <f>IF(G397="","",IF(G397="Σ","G","R"))</f>
        <v/>
      </c>
      <c r="C397" s="367" t="s">
        <v>247</v>
      </c>
      <c r="D397" s="367"/>
      <c r="E397" s="367"/>
      <c r="F397" s="367"/>
      <c r="G397" s="172"/>
      <c r="I397" s="43"/>
      <c r="J397" s="202"/>
      <c r="K397" s="204"/>
      <c r="L397" s="29"/>
      <c r="O397" s="311"/>
      <c r="Z397" s="30"/>
    </row>
    <row r="398" spans="1:26" ht="13.9" customHeight="1" thickTop="1" x14ac:dyDescent="0.2">
      <c r="I398" s="7"/>
      <c r="J398" s="32"/>
      <c r="K398" s="28"/>
      <c r="L398" s="29"/>
      <c r="Z398" s="30"/>
    </row>
    <row r="399" spans="1:26" ht="13.9" customHeight="1" x14ac:dyDescent="0.2">
      <c r="A399" s="40"/>
      <c r="B399" s="40"/>
      <c r="C399" s="45" t="str">
        <f>IF(A375&lt;&gt;"G","",6)</f>
        <v/>
      </c>
      <c r="D399" s="45" t="str">
        <f>IF(A380&lt;&gt;"G","",6)</f>
        <v/>
      </c>
      <c r="E399" s="45" t="str">
        <f>IF(A385&lt;&gt;"G","",6)</f>
        <v/>
      </c>
      <c r="F399" s="45" t="str">
        <f>IF(A390&lt;&gt;"G","",6)</f>
        <v/>
      </c>
      <c r="G399" s="45" t="str">
        <f>IF(A397&lt;&gt;"G","",6)</f>
        <v/>
      </c>
      <c r="H399" s="40"/>
      <c r="I399" s="40"/>
      <c r="J399" s="28"/>
      <c r="K399" s="28"/>
      <c r="L399" s="29"/>
      <c r="Z399" s="30"/>
    </row>
    <row r="400" spans="1:26" ht="13.9" customHeight="1" x14ac:dyDescent="0.2">
      <c r="I400" s="7"/>
      <c r="J400" s="32"/>
      <c r="K400" s="28"/>
      <c r="L400" s="29"/>
      <c r="Z400" s="30"/>
    </row>
    <row r="401" spans="2:26" ht="18" customHeight="1" x14ac:dyDescent="0.2">
      <c r="B401" s="35" t="s">
        <v>342</v>
      </c>
      <c r="C401" s="47" t="s">
        <v>84</v>
      </c>
      <c r="D401" s="50" t="s">
        <v>368</v>
      </c>
      <c r="E401" s="95" t="s">
        <v>252</v>
      </c>
      <c r="F401" s="74" t="s">
        <v>351</v>
      </c>
      <c r="G401" s="95" t="s">
        <v>253</v>
      </c>
      <c r="H401" s="416" t="s">
        <v>393</v>
      </c>
      <c r="I401" s="417"/>
      <c r="J401" s="28"/>
      <c r="K401" s="28"/>
      <c r="L401" s="29"/>
      <c r="Z401" s="30"/>
    </row>
    <row r="402" spans="2:26" ht="13.9" customHeight="1" x14ac:dyDescent="0.2">
      <c r="I402" s="7"/>
      <c r="J402" s="32"/>
      <c r="K402" s="28"/>
      <c r="L402" s="29"/>
      <c r="Z402" s="30"/>
    </row>
    <row r="403" spans="2:26" ht="13.9" customHeight="1" x14ac:dyDescent="0.2">
      <c r="C403" s="245" t="s">
        <v>251</v>
      </c>
      <c r="D403" s="245"/>
      <c r="E403" s="245"/>
      <c r="F403" s="245"/>
      <c r="G403" s="245"/>
      <c r="H403" s="245"/>
      <c r="I403" s="7"/>
      <c r="J403" s="32"/>
      <c r="K403" s="28"/>
      <c r="L403" s="29"/>
      <c r="Z403" s="30"/>
    </row>
    <row r="404" spans="2:26" ht="13.9" customHeight="1" x14ac:dyDescent="0.2">
      <c r="C404" s="245"/>
      <c r="D404" s="245"/>
      <c r="E404" s="245"/>
      <c r="F404" s="245"/>
      <c r="G404" s="245"/>
      <c r="H404" s="245"/>
      <c r="I404" s="7"/>
      <c r="J404" s="32"/>
      <c r="K404" s="28"/>
      <c r="L404" s="29"/>
      <c r="Z404" s="30"/>
    </row>
    <row r="405" spans="2:26" ht="13.9" customHeight="1" x14ac:dyDescent="0.2">
      <c r="C405" s="245"/>
      <c r="D405" s="245"/>
      <c r="E405" s="245"/>
      <c r="F405" s="245"/>
      <c r="G405" s="245"/>
      <c r="H405" s="245"/>
      <c r="I405" s="7"/>
      <c r="J405" s="32"/>
      <c r="K405" s="28"/>
      <c r="L405" s="29"/>
      <c r="Z405" s="30"/>
    </row>
    <row r="406" spans="2:26" ht="13.9" customHeight="1" x14ac:dyDescent="0.2">
      <c r="I406" s="7"/>
      <c r="J406" s="32"/>
      <c r="K406" s="28"/>
      <c r="L406" s="29"/>
      <c r="Z406" s="30"/>
    </row>
    <row r="407" spans="2:26" ht="15" customHeight="1" x14ac:dyDescent="0.2">
      <c r="B407" s="94" t="s">
        <v>456</v>
      </c>
      <c r="C407" s="405" t="s">
        <v>241</v>
      </c>
      <c r="D407" s="406"/>
      <c r="E407" s="406"/>
      <c r="F407" s="406"/>
      <c r="G407" s="406"/>
      <c r="H407" s="407"/>
      <c r="I407" s="7"/>
      <c r="J407" s="32"/>
      <c r="K407" s="28"/>
      <c r="L407" s="29"/>
      <c r="Z407" s="30"/>
    </row>
    <row r="408" spans="2:26" ht="15" customHeight="1" x14ac:dyDescent="0.2">
      <c r="C408" s="408"/>
      <c r="D408" s="409"/>
      <c r="E408" s="409"/>
      <c r="F408" s="409"/>
      <c r="G408" s="409"/>
      <c r="H408" s="410"/>
      <c r="I408" s="7"/>
      <c r="J408" s="32"/>
      <c r="K408" s="28"/>
      <c r="L408" s="29"/>
      <c r="Z408" s="30"/>
    </row>
    <row r="409" spans="2:26" ht="13.9" customHeight="1" x14ac:dyDescent="0.2">
      <c r="I409" s="7"/>
      <c r="J409" s="32"/>
      <c r="K409" s="28"/>
      <c r="L409" s="29"/>
      <c r="Z409" s="30"/>
    </row>
    <row r="410" spans="2:26" ht="13.9" customHeight="1" thickBot="1" x14ac:dyDescent="0.25">
      <c r="C410" s="388" t="s">
        <v>389</v>
      </c>
      <c r="D410" s="389"/>
      <c r="I410" s="7"/>
      <c r="J410" s="32"/>
      <c r="K410" s="28"/>
      <c r="L410" s="29"/>
      <c r="Z410" s="30"/>
    </row>
    <row r="411" spans="2:26" ht="16.149999999999999" customHeight="1" thickTop="1" thickBot="1" x14ac:dyDescent="0.25">
      <c r="C411" s="367" t="s">
        <v>248</v>
      </c>
      <c r="D411" s="367"/>
      <c r="E411" s="367"/>
      <c r="F411" s="367"/>
      <c r="G411" s="172"/>
      <c r="I411" s="15" t="str">
        <f>IF(G411="","",IF(G411="Σ","G","R"))</f>
        <v/>
      </c>
      <c r="J411" s="32"/>
      <c r="K411" s="28"/>
      <c r="L411" s="29"/>
      <c r="Z411" s="30"/>
    </row>
    <row r="412" spans="2:26" ht="13.9" customHeight="1" thickTop="1" x14ac:dyDescent="0.2">
      <c r="I412" s="7"/>
      <c r="J412" s="32"/>
      <c r="K412" s="28"/>
      <c r="L412" s="29"/>
      <c r="Z412" s="30"/>
    </row>
    <row r="413" spans="2:26" ht="16.149999999999999" customHeight="1" x14ac:dyDescent="0.2">
      <c r="B413" s="94" t="s">
        <v>456</v>
      </c>
      <c r="C413" s="402" t="s">
        <v>242</v>
      </c>
      <c r="D413" s="400"/>
      <c r="E413" s="400"/>
      <c r="F413" s="400"/>
      <c r="G413" s="401"/>
      <c r="I413" s="7"/>
      <c r="J413" s="32"/>
      <c r="K413" s="28"/>
      <c r="L413" s="29"/>
      <c r="Z413" s="30"/>
    </row>
    <row r="414" spans="2:26" ht="13.9" customHeight="1" x14ac:dyDescent="0.2">
      <c r="I414" s="7"/>
      <c r="J414" s="32"/>
      <c r="K414" s="28"/>
      <c r="L414" s="29"/>
      <c r="Z414" s="30"/>
    </row>
    <row r="415" spans="2:26" ht="13.9" customHeight="1" thickBot="1" x14ac:dyDescent="0.25">
      <c r="C415" s="388" t="s">
        <v>389</v>
      </c>
      <c r="D415" s="389"/>
      <c r="I415" s="7"/>
      <c r="J415" s="32"/>
      <c r="K415" s="28"/>
      <c r="L415" s="29"/>
      <c r="Z415" s="30"/>
    </row>
    <row r="416" spans="2:26" ht="16.149999999999999" customHeight="1" thickTop="1" thickBot="1" x14ac:dyDescent="0.25">
      <c r="C416" s="367" t="s">
        <v>249</v>
      </c>
      <c r="D416" s="367"/>
      <c r="E416" s="367"/>
      <c r="F416" s="367"/>
      <c r="G416" s="172"/>
      <c r="I416" s="15" t="str">
        <f>IF(G416="","",IF(OR(G416="A",G416="Α"),"G","R"))</f>
        <v/>
      </c>
      <c r="J416" s="32"/>
      <c r="K416" s="28"/>
      <c r="L416" s="29"/>
      <c r="Z416" s="30"/>
    </row>
    <row r="417" spans="2:26" ht="16.149999999999999" customHeight="1" thickTop="1" thickBot="1" x14ac:dyDescent="0.25">
      <c r="C417" s="367" t="s">
        <v>250</v>
      </c>
      <c r="D417" s="367"/>
      <c r="E417" s="367"/>
      <c r="F417" s="367"/>
      <c r="G417" s="172"/>
      <c r="I417" s="15" t="str">
        <f>IF(G417="","",IF(G417="Σ","G","R"))</f>
        <v/>
      </c>
      <c r="J417" s="32"/>
      <c r="K417" s="28"/>
      <c r="L417" s="29"/>
      <c r="Z417" s="30"/>
    </row>
    <row r="418" spans="2:26" ht="13.9" customHeight="1" thickTop="1" x14ac:dyDescent="0.2">
      <c r="I418" s="7"/>
      <c r="J418" s="32"/>
      <c r="K418" s="28"/>
      <c r="L418" s="29"/>
      <c r="Z418" s="30"/>
    </row>
    <row r="419" spans="2:26" ht="13.9" customHeight="1" x14ac:dyDescent="0.2">
      <c r="B419" s="94" t="s">
        <v>456</v>
      </c>
      <c r="C419" s="399" t="s">
        <v>239</v>
      </c>
      <c r="D419" s="400"/>
      <c r="E419" s="400"/>
      <c r="F419" s="400"/>
      <c r="G419" s="401"/>
      <c r="I419" s="7"/>
      <c r="J419" s="32"/>
      <c r="K419" s="28"/>
      <c r="L419" s="29"/>
      <c r="Z419" s="30"/>
    </row>
    <row r="420" spans="2:26" ht="13.9" customHeight="1" x14ac:dyDescent="0.2">
      <c r="I420" s="7"/>
      <c r="J420" s="32"/>
      <c r="K420" s="28"/>
      <c r="L420" s="29"/>
      <c r="Z420" s="30"/>
    </row>
    <row r="421" spans="2:26" ht="13.9" customHeight="1" thickBot="1" x14ac:dyDescent="0.25">
      <c r="C421" s="388" t="s">
        <v>389</v>
      </c>
      <c r="D421" s="389"/>
      <c r="I421" s="7"/>
      <c r="J421" s="32"/>
      <c r="K421" s="28"/>
      <c r="L421" s="29"/>
      <c r="Z421" s="30"/>
    </row>
    <row r="422" spans="2:26" ht="16.149999999999999" customHeight="1" thickTop="1" thickBot="1" x14ac:dyDescent="0.25">
      <c r="C422" s="367" t="s">
        <v>248</v>
      </c>
      <c r="D422" s="367"/>
      <c r="E422" s="367"/>
      <c r="F422" s="367"/>
      <c r="G422" s="172"/>
      <c r="I422" s="15" t="str">
        <f>IF(G422="","",IF(OR(G422="M",G422="Μ"),"G","R"))</f>
        <v/>
      </c>
      <c r="J422" s="32"/>
      <c r="K422" s="28"/>
      <c r="L422" s="29"/>
      <c r="Z422" s="30"/>
    </row>
    <row r="423" spans="2:26" ht="16.149999999999999" customHeight="1" thickTop="1" thickBot="1" x14ac:dyDescent="0.25">
      <c r="C423" s="367" t="s">
        <v>250</v>
      </c>
      <c r="D423" s="367"/>
      <c r="E423" s="367"/>
      <c r="F423" s="367"/>
      <c r="G423" s="172"/>
      <c r="I423" s="15" t="str">
        <f>IF(G423="","",IF(OR(G423="M",G423="Μ"),"G","R"))</f>
        <v/>
      </c>
      <c r="J423" s="32"/>
      <c r="K423" s="28"/>
      <c r="L423" s="29"/>
      <c r="Z423" s="30"/>
    </row>
    <row r="424" spans="2:26" ht="13.9" customHeight="1" thickTop="1" x14ac:dyDescent="0.2">
      <c r="I424" s="7"/>
      <c r="J424" s="32"/>
      <c r="K424" s="28"/>
      <c r="L424" s="29"/>
      <c r="Z424" s="30"/>
    </row>
    <row r="425" spans="2:26" ht="13.9" customHeight="1" x14ac:dyDescent="0.2">
      <c r="B425" s="94" t="s">
        <v>456</v>
      </c>
      <c r="C425" s="402" t="s">
        <v>236</v>
      </c>
      <c r="D425" s="403"/>
      <c r="E425" s="403"/>
      <c r="F425" s="403"/>
      <c r="G425" s="403"/>
      <c r="H425" s="404"/>
      <c r="I425" s="7"/>
      <c r="J425" s="32"/>
      <c r="K425" s="28"/>
      <c r="L425" s="29"/>
      <c r="Z425" s="30"/>
    </row>
    <row r="426" spans="2:26" ht="13.9" customHeight="1" x14ac:dyDescent="0.2">
      <c r="I426" s="7"/>
      <c r="J426" s="32"/>
      <c r="K426" s="28"/>
      <c r="L426" s="29"/>
      <c r="Z426" s="30"/>
    </row>
    <row r="427" spans="2:26" ht="13.9" customHeight="1" thickBot="1" x14ac:dyDescent="0.25">
      <c r="C427" s="388" t="s">
        <v>389</v>
      </c>
      <c r="D427" s="389"/>
      <c r="I427" s="7"/>
      <c r="J427" s="32"/>
      <c r="K427" s="28"/>
      <c r="L427" s="29"/>
      <c r="Z427" s="30"/>
    </row>
    <row r="428" spans="2:26" ht="16.149999999999999" customHeight="1" thickTop="1" thickBot="1" x14ac:dyDescent="0.25">
      <c r="C428" s="367" t="s">
        <v>248</v>
      </c>
      <c r="D428" s="367"/>
      <c r="E428" s="367"/>
      <c r="F428" s="367"/>
      <c r="G428" s="172"/>
      <c r="I428" s="15" t="str">
        <f>IF(G428="","",IF(OR(G428="M",G428="Μ"),"G","R"))</f>
        <v/>
      </c>
      <c r="J428" s="32"/>
      <c r="K428" s="28"/>
      <c r="L428" s="29"/>
      <c r="Z428" s="30"/>
    </row>
    <row r="429" spans="2:26" ht="16.149999999999999" customHeight="1" thickTop="1" thickBot="1" x14ac:dyDescent="0.25">
      <c r="C429" s="367" t="s">
        <v>250</v>
      </c>
      <c r="D429" s="367"/>
      <c r="E429" s="367"/>
      <c r="F429" s="367"/>
      <c r="G429" s="172"/>
      <c r="I429" s="15" t="str">
        <f>IF(G429="","",IF(G429="Σ","G","R"))</f>
        <v/>
      </c>
      <c r="J429" s="32"/>
      <c r="K429" s="28"/>
      <c r="L429" s="29"/>
      <c r="Z429" s="30"/>
    </row>
    <row r="430" spans="2:26" ht="13.9" customHeight="1" thickTop="1" x14ac:dyDescent="0.2">
      <c r="I430" s="7"/>
      <c r="J430" s="32"/>
      <c r="K430" s="28"/>
      <c r="L430" s="29"/>
      <c r="Z430" s="30"/>
    </row>
    <row r="431" spans="2:26" ht="13.9" customHeight="1" x14ac:dyDescent="0.2">
      <c r="B431" s="94" t="s">
        <v>456</v>
      </c>
      <c r="C431" s="412" t="s">
        <v>243</v>
      </c>
      <c r="D431" s="406"/>
      <c r="E431" s="406"/>
      <c r="F431" s="406"/>
      <c r="G431" s="406"/>
      <c r="H431" s="407"/>
      <c r="I431" s="7"/>
      <c r="J431" s="32"/>
      <c r="K431" s="28"/>
      <c r="L431" s="29"/>
      <c r="Z431" s="30"/>
    </row>
    <row r="432" spans="2:26" ht="13.9" customHeight="1" x14ac:dyDescent="0.2">
      <c r="C432" s="413"/>
      <c r="D432" s="414"/>
      <c r="E432" s="414"/>
      <c r="F432" s="414"/>
      <c r="G432" s="414"/>
      <c r="H432" s="415"/>
      <c r="I432" s="7"/>
      <c r="J432" s="32"/>
      <c r="K432" s="28"/>
      <c r="L432" s="29"/>
      <c r="Z432" s="30"/>
    </row>
    <row r="433" spans="1:26" ht="13.9" customHeight="1" x14ac:dyDescent="0.2">
      <c r="C433" s="408"/>
      <c r="D433" s="409"/>
      <c r="E433" s="409"/>
      <c r="F433" s="409"/>
      <c r="G433" s="409"/>
      <c r="H433" s="410"/>
      <c r="I433" s="7"/>
      <c r="J433" s="32"/>
      <c r="K433" s="28"/>
      <c r="L433" s="29"/>
      <c r="Z433" s="30"/>
    </row>
    <row r="434" spans="1:26" ht="13.9" customHeight="1" thickBot="1" x14ac:dyDescent="0.25">
      <c r="I434" s="7"/>
      <c r="J434" s="32"/>
      <c r="K434" s="28"/>
      <c r="L434" s="29"/>
      <c r="Z434" s="30"/>
    </row>
    <row r="435" spans="1:26" ht="13.9" customHeight="1" thickBot="1" x14ac:dyDescent="0.25">
      <c r="C435" s="388" t="s">
        <v>389</v>
      </c>
      <c r="D435" s="389"/>
      <c r="I435" s="43"/>
      <c r="J435" s="201" t="str">
        <f>IF(K435="","",IF(K435=40,O17,O24))</f>
        <v/>
      </c>
      <c r="K435" s="203" t="str">
        <f>IF(OR(I411="",I416="",I417="",I422="",I423="",I428="",I429="",I436=""),"",SUM(B438:I438))</f>
        <v/>
      </c>
      <c r="L435" s="29"/>
      <c r="O435" s="311">
        <v>40</v>
      </c>
      <c r="Z435" s="30"/>
    </row>
    <row r="436" spans="1:26" ht="16.149999999999999" customHeight="1" thickTop="1" thickBot="1" x14ac:dyDescent="0.25">
      <c r="C436" s="367" t="s">
        <v>248</v>
      </c>
      <c r="D436" s="367"/>
      <c r="E436" s="367"/>
      <c r="F436" s="367"/>
      <c r="G436" s="172"/>
      <c r="I436" s="13" t="str">
        <f>IF(G436="","",IF(G436="Σ","G","R"))</f>
        <v/>
      </c>
      <c r="J436" s="202"/>
      <c r="K436" s="204"/>
      <c r="L436" s="29"/>
      <c r="O436" s="311"/>
      <c r="Z436" s="30"/>
    </row>
    <row r="437" spans="1:26" ht="13.9" customHeight="1" thickTop="1" x14ac:dyDescent="0.2">
      <c r="I437" s="7"/>
      <c r="J437" s="32"/>
      <c r="K437" s="28"/>
      <c r="L437" s="29"/>
      <c r="Z437" s="30"/>
    </row>
    <row r="438" spans="1:26" ht="13.9" customHeight="1" x14ac:dyDescent="0.2">
      <c r="A438" s="40"/>
      <c r="B438" s="45" t="str">
        <f>IF(I411&lt;&gt;"G","",5)</f>
        <v/>
      </c>
      <c r="C438" s="45" t="str">
        <f>IF(I416&lt;&gt;"G","",5)</f>
        <v/>
      </c>
      <c r="D438" s="45" t="str">
        <f>IF(I417&lt;&gt;"G","",5)</f>
        <v/>
      </c>
      <c r="E438" s="45" t="str">
        <f>IF(I422&lt;&gt;"G","",5)</f>
        <v/>
      </c>
      <c r="F438" s="45" t="str">
        <f>IF(I423&lt;&gt;"G","",5)</f>
        <v/>
      </c>
      <c r="G438" s="45" t="str">
        <f>IF(I428&lt;&gt;"G","",5)</f>
        <v/>
      </c>
      <c r="H438" s="45" t="str">
        <f>IF(I429&lt;&gt;"G","",5)</f>
        <v/>
      </c>
      <c r="I438" s="45" t="str">
        <f>IF(I436&lt;&gt;"G","",5)</f>
        <v/>
      </c>
      <c r="J438" s="28"/>
      <c r="K438" s="28"/>
      <c r="L438" s="29"/>
      <c r="Z438" s="30"/>
    </row>
    <row r="439" spans="1:26" ht="13.9" customHeight="1" x14ac:dyDescent="0.2">
      <c r="I439" s="7"/>
      <c r="J439" s="32"/>
      <c r="K439" s="28"/>
      <c r="L439" s="29"/>
      <c r="Z439" s="30"/>
    </row>
    <row r="440" spans="1:26" ht="13.9" customHeight="1" x14ac:dyDescent="0.2">
      <c r="A440" s="33" t="s">
        <v>394</v>
      </c>
      <c r="B440" s="245" t="s">
        <v>256</v>
      </c>
      <c r="C440" s="245"/>
      <c r="D440" s="245"/>
      <c r="E440" s="245"/>
      <c r="F440" s="245"/>
      <c r="G440" s="245"/>
      <c r="H440" s="245"/>
      <c r="I440" s="246"/>
      <c r="J440" s="32"/>
      <c r="K440" s="28"/>
      <c r="L440" s="29"/>
      <c r="Z440" s="30"/>
    </row>
    <row r="441" spans="1:26" ht="13.9" customHeight="1" x14ac:dyDescent="0.2">
      <c r="B441" s="245"/>
      <c r="C441" s="245"/>
      <c r="D441" s="245"/>
      <c r="E441" s="245"/>
      <c r="F441" s="245"/>
      <c r="G441" s="245"/>
      <c r="H441" s="245"/>
      <c r="I441" s="246"/>
      <c r="J441" s="32"/>
      <c r="K441" s="28"/>
      <c r="L441" s="29"/>
      <c r="Z441" s="30"/>
    </row>
    <row r="442" spans="1:26" ht="13.9" customHeight="1" x14ac:dyDescent="0.2">
      <c r="B442" s="245"/>
      <c r="C442" s="245"/>
      <c r="D442" s="245"/>
      <c r="E442" s="245"/>
      <c r="F442" s="245"/>
      <c r="G442" s="245"/>
      <c r="H442" s="245"/>
      <c r="I442" s="246"/>
      <c r="J442" s="32"/>
      <c r="K442" s="28"/>
      <c r="L442" s="29"/>
      <c r="Z442" s="30"/>
    </row>
    <row r="443" spans="1:26" ht="13.9" customHeight="1" x14ac:dyDescent="0.2">
      <c r="B443" s="245"/>
      <c r="C443" s="245"/>
      <c r="D443" s="245"/>
      <c r="E443" s="245"/>
      <c r="F443" s="245"/>
      <c r="G443" s="245"/>
      <c r="H443" s="245"/>
      <c r="I443" s="246"/>
      <c r="J443" s="32"/>
      <c r="K443" s="28"/>
      <c r="L443" s="29"/>
      <c r="Z443" s="30"/>
    </row>
    <row r="444" spans="1:26" ht="13.9" customHeight="1" x14ac:dyDescent="0.2">
      <c r="I444" s="7"/>
      <c r="J444" s="32"/>
      <c r="K444" s="28"/>
      <c r="L444" s="29"/>
      <c r="Z444" s="30"/>
    </row>
    <row r="445" spans="1:26" ht="18" customHeight="1" x14ac:dyDescent="0.25">
      <c r="B445" s="35" t="s">
        <v>340</v>
      </c>
      <c r="C445" s="46"/>
      <c r="D445" s="34" t="s">
        <v>229</v>
      </c>
      <c r="E445" s="50" t="s">
        <v>368</v>
      </c>
      <c r="F445" s="49" t="s">
        <v>230</v>
      </c>
      <c r="G445" s="74" t="s">
        <v>351</v>
      </c>
      <c r="H445" s="91" t="s">
        <v>226</v>
      </c>
      <c r="I445" s="7"/>
      <c r="J445" s="32"/>
      <c r="K445" s="28"/>
      <c r="L445" s="29"/>
      <c r="Z445" s="30"/>
    </row>
    <row r="446" spans="1:26" ht="13.9" customHeight="1" thickBot="1" x14ac:dyDescent="0.25">
      <c r="I446" s="7"/>
      <c r="J446" s="32"/>
      <c r="K446" s="28"/>
      <c r="L446" s="29"/>
      <c r="Z446" s="30"/>
    </row>
    <row r="447" spans="1:26" ht="13.9" customHeight="1" thickTop="1" thickBot="1" x14ac:dyDescent="0.25">
      <c r="B447" s="85" t="s">
        <v>376</v>
      </c>
      <c r="C447" s="96" t="s">
        <v>395</v>
      </c>
      <c r="D447" s="64" t="s">
        <v>354</v>
      </c>
      <c r="E447" s="213" t="s">
        <v>368</v>
      </c>
      <c r="F447" s="64" t="s">
        <v>396</v>
      </c>
      <c r="G447" s="214" t="s">
        <v>351</v>
      </c>
      <c r="H447" s="64" t="s">
        <v>397</v>
      </c>
      <c r="I447" s="7"/>
      <c r="J447" s="32"/>
      <c r="K447" s="28"/>
      <c r="L447" s="29"/>
      <c r="Z447" s="30"/>
    </row>
    <row r="448" spans="1:26" ht="13.9" customHeight="1" thickTop="1" thickBot="1" x14ac:dyDescent="0.25">
      <c r="B448" s="396" t="s">
        <v>198</v>
      </c>
      <c r="C448" s="66" t="s">
        <v>398</v>
      </c>
      <c r="D448" s="97"/>
      <c r="E448" s="213"/>
      <c r="F448" s="98"/>
      <c r="G448" s="214"/>
      <c r="H448" s="64" t="s">
        <v>397</v>
      </c>
      <c r="I448" s="7"/>
      <c r="J448" s="32"/>
      <c r="K448" s="28"/>
      <c r="L448" s="29"/>
      <c r="Z448" s="30"/>
    </row>
    <row r="449" spans="1:26" ht="13.9" customHeight="1" thickTop="1" thickBot="1" x14ac:dyDescent="0.25">
      <c r="B449" s="397"/>
      <c r="C449" s="66" t="s">
        <v>372</v>
      </c>
      <c r="D449" s="88"/>
      <c r="E449" s="213"/>
      <c r="F449" s="64" t="s">
        <v>381</v>
      </c>
      <c r="G449" s="214"/>
      <c r="H449" s="146"/>
      <c r="I449" s="7"/>
      <c r="J449" s="32"/>
      <c r="K449" s="28"/>
      <c r="L449" s="29"/>
      <c r="Z449" s="30"/>
    </row>
    <row r="450" spans="1:26" ht="13.9" customHeight="1" thickTop="1" thickBot="1" x14ac:dyDescent="0.25">
      <c r="B450" s="398"/>
      <c r="C450" s="66" t="s">
        <v>370</v>
      </c>
      <c r="D450" s="146"/>
      <c r="E450" s="213"/>
      <c r="F450" s="98"/>
      <c r="G450" s="214"/>
      <c r="H450" s="98"/>
      <c r="I450" s="15" t="str">
        <f>IF(OR(H449="",D450=""),"",IF(AND(H449="xmol",D450="xmol"),"G","R"))</f>
        <v/>
      </c>
      <c r="J450" s="32"/>
      <c r="K450" s="28"/>
      <c r="L450" s="29"/>
      <c r="Z450" s="30"/>
    </row>
    <row r="451" spans="1:26" ht="13.9" customHeight="1" thickTop="1" thickBot="1" x14ac:dyDescent="0.25">
      <c r="B451" s="85" t="s">
        <v>376</v>
      </c>
      <c r="C451" s="96" t="s">
        <v>399</v>
      </c>
      <c r="D451" s="173"/>
      <c r="E451" s="213"/>
      <c r="F451" s="173"/>
      <c r="G451" s="214"/>
      <c r="H451" s="173"/>
      <c r="I451" s="15" t="str">
        <f>IF(OR(G3&lt;&gt;"Επιμέλεια: Τουκμενίδης Μηνάς",D451="",F451="",H451=""),"",IF(AND(OR(D451="(0,4+x)mol",D451="(x+0,4)mol"),OR(F451="(0,6-x)mol",F451="(0,6–x)mol"),OR(H451="(0,4-x)mol",H451="(0,4–x)mol")),"G","R"))</f>
        <v/>
      </c>
      <c r="J451" s="32"/>
      <c r="K451" s="28"/>
      <c r="L451" s="29"/>
      <c r="Z451" s="30"/>
    </row>
    <row r="452" spans="1:26" ht="13.9" customHeight="1" thickTop="1" thickBot="1" x14ac:dyDescent="0.25">
      <c r="I452" s="43"/>
      <c r="J452" s="201" t="str">
        <f>IF(K452="","",IF(K452=30,O17,O24))</f>
        <v/>
      </c>
      <c r="K452" s="203" t="str">
        <f>IF(OR(I450="",I451="",I453=""),"",SUM(C455:E455))</f>
        <v/>
      </c>
      <c r="L452" s="29"/>
      <c r="O452" s="311">
        <v>30</v>
      </c>
      <c r="Z452" s="30"/>
    </row>
    <row r="453" spans="1:26" ht="13.9" customHeight="1" thickTop="1" thickBot="1" x14ac:dyDescent="0.25">
      <c r="E453" s="394" t="s">
        <v>259</v>
      </c>
      <c r="F453" s="394"/>
      <c r="G453" s="394"/>
      <c r="H453" s="165"/>
      <c r="I453" s="13" t="str">
        <f>IF(H453="","",IF(H453=0.1,"G","R"))</f>
        <v/>
      </c>
      <c r="J453" s="202"/>
      <c r="K453" s="204"/>
      <c r="L453" s="29"/>
      <c r="O453" s="311"/>
      <c r="Z453" s="30"/>
    </row>
    <row r="454" spans="1:26" ht="13.9" customHeight="1" thickTop="1" x14ac:dyDescent="0.2">
      <c r="I454" s="7"/>
      <c r="J454" s="32"/>
      <c r="K454" s="28"/>
      <c r="L454" s="29"/>
      <c r="Z454" s="30"/>
    </row>
    <row r="455" spans="1:26" ht="13.9" customHeight="1" thickBot="1" x14ac:dyDescent="0.25">
      <c r="A455" s="40"/>
      <c r="B455" s="40"/>
      <c r="C455" s="45" t="str">
        <f>IF(I450&lt;&gt;"G","",2)</f>
        <v/>
      </c>
      <c r="D455" s="45" t="str">
        <f>IF(I451&lt;&gt;"G","",8)</f>
        <v/>
      </c>
      <c r="E455" s="45" t="str">
        <f>IF(I453&lt;&gt;"G","",20)</f>
        <v/>
      </c>
      <c r="F455" s="40"/>
      <c r="G455" s="40"/>
      <c r="H455" s="40"/>
      <c r="I455" s="40"/>
      <c r="J455" s="28"/>
      <c r="K455" s="28"/>
      <c r="L455" s="29"/>
      <c r="Z455" s="30"/>
    </row>
    <row r="456" spans="1:26" ht="13.9" customHeight="1" thickBot="1" x14ac:dyDescent="0.25">
      <c r="I456" s="7"/>
      <c r="J456" s="32"/>
      <c r="K456" s="28"/>
      <c r="L456" s="29"/>
      <c r="M456" s="232" t="s">
        <v>266</v>
      </c>
      <c r="N456" s="233"/>
      <c r="Z456" s="30"/>
    </row>
    <row r="457" spans="1:26" ht="18" customHeight="1" thickBot="1" x14ac:dyDescent="0.3">
      <c r="B457" s="35" t="s">
        <v>341</v>
      </c>
      <c r="C457" s="46"/>
      <c r="D457" s="47" t="s">
        <v>87</v>
      </c>
      <c r="E457" s="50" t="s">
        <v>368</v>
      </c>
      <c r="F457" s="57" t="s">
        <v>278</v>
      </c>
      <c r="G457" s="391" t="s">
        <v>393</v>
      </c>
      <c r="H457" s="391"/>
      <c r="I457" s="391"/>
      <c r="J457" s="32"/>
      <c r="K457" s="28"/>
      <c r="L457" s="29"/>
      <c r="M457" s="232"/>
      <c r="N457" s="233"/>
      <c r="Z457" s="30"/>
    </row>
    <row r="458" spans="1:26" ht="13.9" customHeight="1" thickBot="1" x14ac:dyDescent="0.25">
      <c r="I458" s="7"/>
      <c r="J458" s="32"/>
      <c r="K458" s="28"/>
      <c r="L458" s="29"/>
      <c r="M458" s="232"/>
      <c r="N458" s="233"/>
      <c r="Z458" s="30"/>
    </row>
    <row r="459" spans="1:26" ht="13.9" customHeight="1" thickTop="1" thickBot="1" x14ac:dyDescent="0.25">
      <c r="B459" s="85" t="s">
        <v>264</v>
      </c>
      <c r="C459" s="96" t="s">
        <v>395</v>
      </c>
      <c r="D459" s="64" t="s">
        <v>400</v>
      </c>
      <c r="E459" s="395" t="s">
        <v>368</v>
      </c>
      <c r="F459" s="64" t="s">
        <v>401</v>
      </c>
      <c r="I459" s="7"/>
      <c r="J459" s="32"/>
      <c r="K459" s="28"/>
      <c r="L459" s="29"/>
      <c r="M459" s="227"/>
      <c r="N459" s="228"/>
      <c r="P459" s="295" t="str">
        <f>IF(M459="Ναι","→","")</f>
        <v/>
      </c>
      <c r="Q459" s="296" t="str">
        <f>IF(M459&lt;&gt;"Ναι","","Λύση του προβλήματος 8β.")</f>
        <v/>
      </c>
      <c r="R459" s="296"/>
      <c r="S459" s="296"/>
      <c r="Z459" s="30"/>
    </row>
    <row r="460" spans="1:26" ht="13.9" customHeight="1" thickTop="1" thickBot="1" x14ac:dyDescent="0.25">
      <c r="B460" s="382" t="s">
        <v>402</v>
      </c>
      <c r="C460" s="383"/>
      <c r="D460" s="384"/>
      <c r="E460" s="395"/>
      <c r="F460" s="75"/>
      <c r="I460" s="7"/>
      <c r="J460" s="32"/>
      <c r="K460" s="28"/>
      <c r="L460" s="29"/>
      <c r="M460" s="227"/>
      <c r="N460" s="228"/>
      <c r="P460" s="295"/>
      <c r="Q460" s="264" t="str">
        <f>IF(M459&lt;&gt;"Ναι","","Αφού το αέριο μίγμα στην ΚΧΙ είναι ισομοριακό ως προς τα συστατικά του, η αντίδραση προφανώς έγινε προς τα αριστερά. Έτσι ο πίνακας θα συμπληρωθεί ως εξής:")</f>
        <v/>
      </c>
      <c r="R460" s="264"/>
      <c r="S460" s="264"/>
      <c r="T460" s="264"/>
      <c r="U460" s="264"/>
      <c r="V460" s="264"/>
      <c r="W460" s="264"/>
      <c r="X460" s="264"/>
      <c r="Z460" s="30"/>
    </row>
    <row r="461" spans="1:26" ht="13.9" customHeight="1" thickTop="1" thickBot="1" x14ac:dyDescent="0.25">
      <c r="B461" s="99" t="s">
        <v>390</v>
      </c>
      <c r="C461" s="197" t="s">
        <v>372</v>
      </c>
      <c r="D461" s="192"/>
      <c r="E461" s="395"/>
      <c r="F461" s="146"/>
      <c r="I461" s="7"/>
      <c r="J461" s="32"/>
      <c r="K461" s="28"/>
      <c r="L461" s="29"/>
      <c r="Q461" s="264"/>
      <c r="R461" s="264"/>
      <c r="S461" s="264"/>
      <c r="T461" s="264"/>
      <c r="U461" s="264"/>
      <c r="V461" s="264"/>
      <c r="W461" s="264"/>
      <c r="X461" s="264"/>
      <c r="Z461" s="30"/>
    </row>
    <row r="462" spans="1:26" ht="13.9" customHeight="1" thickTop="1" thickBot="1" x14ac:dyDescent="0.3">
      <c r="A462" s="12" t="str">
        <f>IF(AND(F461="",D462="",D461="",F462=""),"",IF(AND(F461="2xmol",D462="xmol",D461="",F462=""),"G","R"))</f>
        <v/>
      </c>
      <c r="C462" s="66" t="s">
        <v>370</v>
      </c>
      <c r="D462" s="146"/>
      <c r="E462" s="395"/>
      <c r="F462" s="146"/>
      <c r="I462" s="7"/>
      <c r="J462" s="32"/>
      <c r="K462" s="28"/>
      <c r="L462" s="29"/>
      <c r="Q462" s="5"/>
      <c r="R462" s="18" t="str">
        <f>IF(M$459&lt;&gt;"Ναι","","N2O4(g)")</f>
        <v/>
      </c>
      <c r="S462" s="16" t="str">
        <f>IF(M459&lt;&gt;"Ναι","","D")</f>
        <v/>
      </c>
      <c r="T462" s="18" t="str">
        <f>IF(M$459&lt;&gt;"Ναι","","2NO2(g)")</f>
        <v/>
      </c>
      <c r="U462" s="291" t="str">
        <f>IF(M459&lt;&gt;"Ναι","","ΔΗ&gt;0")</f>
        <v/>
      </c>
      <c r="V462" s="291"/>
      <c r="W462" s="291"/>
      <c r="Z462" s="30"/>
    </row>
    <row r="463" spans="1:26" ht="13.9" customHeight="1" thickTop="1" thickBot="1" x14ac:dyDescent="0.25">
      <c r="A463" s="12" t="str">
        <f>IF(OR(D463="",F463=""),"",IF(AND(D463="(2+x)mol",OR(F463="(5-2x)mol",F463="(5–2x)mol")),"G","R"))</f>
        <v/>
      </c>
      <c r="B463" s="85" t="s">
        <v>265</v>
      </c>
      <c r="C463" s="96" t="s">
        <v>399</v>
      </c>
      <c r="D463" s="173"/>
      <c r="E463" s="395"/>
      <c r="F463" s="173"/>
      <c r="I463" s="7"/>
      <c r="J463" s="32"/>
      <c r="K463" s="28"/>
      <c r="L463" s="29"/>
      <c r="Q463" s="6" t="str">
        <f>IF(M$459&lt;&gt;"Ναι","","αρχ. ΚΧΙ")</f>
        <v/>
      </c>
      <c r="R463" s="14" t="str">
        <f>IF(M$459&lt;&gt;"Ναι","","2mol")</f>
        <v/>
      </c>
      <c r="S463" s="289" t="str">
        <f>IF(M459&lt;&gt;"Ναι","","D")</f>
        <v/>
      </c>
      <c r="T463" s="14" t="str">
        <f>IF(M$459&lt;&gt;"Ναι","","5mol")</f>
        <v/>
      </c>
      <c r="U463" s="19" t="str">
        <f>IF(M$459&lt;&gt;"Ναι","","→ θ1°C")</f>
        <v/>
      </c>
      <c r="Z463" s="30"/>
    </row>
    <row r="464" spans="1:26" ht="13.9" customHeight="1" thickTop="1" x14ac:dyDescent="0.2">
      <c r="I464" s="7"/>
      <c r="J464" s="32"/>
      <c r="K464" s="28"/>
      <c r="L464" s="29"/>
      <c r="Q464" s="290" t="str">
        <f>IF(M459&lt;&gt;"Ναι","","αλλαγή θερμοκρασίας")</f>
        <v/>
      </c>
      <c r="R464" s="290"/>
      <c r="S464" s="289"/>
      <c r="T464" s="7"/>
      <c r="Z464" s="30"/>
    </row>
    <row r="465" spans="1:26" ht="13.9" customHeight="1" x14ac:dyDescent="0.2">
      <c r="B465" s="99" t="s">
        <v>390</v>
      </c>
      <c r="C465" s="235" t="s">
        <v>42</v>
      </c>
      <c r="D465" s="235"/>
      <c r="E465" s="235"/>
      <c r="F465" s="235"/>
      <c r="G465" s="235"/>
      <c r="H465" s="235"/>
      <c r="J465" s="32"/>
      <c r="K465" s="28"/>
      <c r="L465" s="29"/>
      <c r="Q465" s="6" t="str">
        <f>IF(M$459&lt;&gt;"Ναι","","αντέδρασαν")</f>
        <v/>
      </c>
      <c r="R465" s="8"/>
      <c r="S465" s="289"/>
      <c r="T465" s="14" t="str">
        <f>IF(M$459&lt;&gt;"Ναι","","2xmol")</f>
        <v/>
      </c>
      <c r="Z465" s="30"/>
    </row>
    <row r="466" spans="1:26" ht="13.9" customHeight="1" x14ac:dyDescent="0.2">
      <c r="C466" s="235"/>
      <c r="D466" s="235"/>
      <c r="E466" s="235"/>
      <c r="F466" s="235"/>
      <c r="G466" s="235"/>
      <c r="H466" s="235"/>
      <c r="J466" s="32"/>
      <c r="K466" s="28"/>
      <c r="L466" s="29"/>
      <c r="Q466" s="6" t="str">
        <f>IF(M$459&lt;&gt;"Ναι","","παρ/θηκαν")</f>
        <v/>
      </c>
      <c r="R466" s="14" t="str">
        <f>IF(M$459&lt;&gt;"Ναι","","xmol")</f>
        <v/>
      </c>
      <c r="S466" s="289"/>
      <c r="T466" s="8"/>
      <c r="Z466" s="30"/>
    </row>
    <row r="467" spans="1:26" ht="13.9" customHeight="1" x14ac:dyDescent="0.2">
      <c r="C467" s="235"/>
      <c r="D467" s="235"/>
      <c r="E467" s="235"/>
      <c r="F467" s="235"/>
      <c r="G467" s="235"/>
      <c r="H467" s="235"/>
      <c r="J467" s="32"/>
      <c r="K467" s="28"/>
      <c r="L467" s="29"/>
      <c r="Q467" s="6" t="str">
        <f>IF(M$459&lt;&gt;"Ναι","","τελ. ΚΧΙ")</f>
        <v/>
      </c>
      <c r="R467" s="14" t="str">
        <f>IF(M$459&lt;&gt;"Ναι","","(2+x)mol")</f>
        <v/>
      </c>
      <c r="S467" s="289"/>
      <c r="T467" s="14" t="str">
        <f>IF(M$459&lt;&gt;"Ναι","","(5–2x)mol")</f>
        <v/>
      </c>
      <c r="U467" s="19" t="str">
        <f>IF(M$459&lt;&gt;"Ναι","","→ θ2°C")</f>
        <v/>
      </c>
      <c r="Z467" s="30"/>
    </row>
    <row r="468" spans="1:26" ht="13.9" customHeight="1" x14ac:dyDescent="0.2">
      <c r="B468" s="100"/>
      <c r="C468" s="235"/>
      <c r="D468" s="235"/>
      <c r="E468" s="235"/>
      <c r="F468" s="235"/>
      <c r="G468" s="235"/>
      <c r="H468" s="235"/>
      <c r="J468" s="32"/>
      <c r="K468" s="28"/>
      <c r="L468" s="29"/>
      <c r="Z468" s="30"/>
    </row>
    <row r="469" spans="1:26" ht="13.9" customHeight="1" x14ac:dyDescent="0.2">
      <c r="B469" s="100"/>
      <c r="C469" s="235"/>
      <c r="D469" s="235"/>
      <c r="E469" s="235"/>
      <c r="F469" s="235"/>
      <c r="G469" s="235"/>
      <c r="H469" s="235"/>
      <c r="J469" s="32"/>
      <c r="K469" s="28"/>
      <c r="L469" s="29"/>
      <c r="Q469" s="235" t="str">
        <f>IF(M459&lt;&gt;"Ναι","","Σύμφωνα με την εκφώνηση, στην ΚΧΙ θα είναι 2+x=5–2x,  άρα  3x=3,  άρα  x=1.
Άρα στην ΚΧΙ, το αέριο μίγμα που έχει σχηματιστεί περιέχει 3mol από καθένα από 
τα δυο αέρια.")</f>
        <v/>
      </c>
      <c r="R469" s="235"/>
      <c r="S469" s="235"/>
      <c r="T469" s="235"/>
      <c r="U469" s="235"/>
      <c r="V469" s="235"/>
      <c r="W469" s="235"/>
      <c r="X469" s="235"/>
      <c r="Z469" s="30"/>
    </row>
    <row r="470" spans="1:26" ht="13.9" customHeight="1" x14ac:dyDescent="0.2">
      <c r="C470" s="235"/>
      <c r="D470" s="235"/>
      <c r="E470" s="235"/>
      <c r="F470" s="235"/>
      <c r="G470" s="235"/>
      <c r="H470" s="235"/>
      <c r="J470" s="32"/>
      <c r="K470" s="28"/>
      <c r="L470" s="29"/>
      <c r="Q470" s="235"/>
      <c r="R470" s="235"/>
      <c r="S470" s="235"/>
      <c r="T470" s="235"/>
      <c r="U470" s="235"/>
      <c r="V470" s="235"/>
      <c r="W470" s="235"/>
      <c r="X470" s="235"/>
      <c r="Z470" s="30"/>
    </row>
    <row r="471" spans="1:26" ht="13.9" customHeight="1" x14ac:dyDescent="0.2">
      <c r="C471" s="235"/>
      <c r="D471" s="235"/>
      <c r="E471" s="235"/>
      <c r="F471" s="235"/>
      <c r="G471" s="235"/>
      <c r="H471" s="235"/>
      <c r="J471" s="32"/>
      <c r="K471" s="28"/>
      <c r="L471" s="29"/>
      <c r="Q471" s="235"/>
      <c r="R471" s="235"/>
      <c r="S471" s="235"/>
      <c r="T471" s="235"/>
      <c r="U471" s="235"/>
      <c r="V471" s="235"/>
      <c r="W471" s="235"/>
      <c r="X471" s="235"/>
      <c r="Z471" s="30"/>
    </row>
    <row r="472" spans="1:26" ht="13.9" customHeight="1" x14ac:dyDescent="0.2">
      <c r="I472" s="7"/>
      <c r="J472" s="32"/>
      <c r="K472" s="28"/>
      <c r="L472" s="29"/>
      <c r="Q472" s="302" t="str">
        <f>IF(M459&lt;&gt;"Ναι","","Η τιμή της σταθεράς Kc1, στους θ1°C, θα είναι:
                              Kc1=[NO2]^2/[N2O4]=(5/5)^2/(2/5)=2,5M.")</f>
        <v/>
      </c>
      <c r="R472" s="302"/>
      <c r="S472" s="302"/>
      <c r="T472" s="302"/>
      <c r="U472" s="302"/>
      <c r="V472" s="302"/>
      <c r="W472" s="302"/>
      <c r="X472" s="302"/>
      <c r="Z472" s="30"/>
    </row>
    <row r="473" spans="1:26" ht="13.9" customHeight="1" x14ac:dyDescent="0.2">
      <c r="C473" s="245" t="s">
        <v>260</v>
      </c>
      <c r="D473" s="245"/>
      <c r="E473" s="245"/>
      <c r="F473" s="245"/>
      <c r="G473" s="245"/>
      <c r="H473" s="245"/>
      <c r="I473" s="7"/>
      <c r="J473" s="32"/>
      <c r="K473" s="28"/>
      <c r="L473" s="29"/>
      <c r="Q473" s="302"/>
      <c r="R473" s="302"/>
      <c r="S473" s="302"/>
      <c r="T473" s="302"/>
      <c r="U473" s="302"/>
      <c r="V473" s="302"/>
      <c r="W473" s="302"/>
      <c r="X473" s="302"/>
      <c r="Z473" s="30"/>
    </row>
    <row r="474" spans="1:26" ht="13.9" customHeight="1" x14ac:dyDescent="0.2">
      <c r="C474" s="245"/>
      <c r="D474" s="245"/>
      <c r="E474" s="245"/>
      <c r="F474" s="245"/>
      <c r="G474" s="245"/>
      <c r="H474" s="245"/>
      <c r="I474" s="7"/>
      <c r="J474" s="32"/>
      <c r="K474" s="28"/>
      <c r="L474" s="29"/>
      <c r="Q474" s="298" t="str">
        <f>IF(M459&lt;&gt;"Ναι","","Η τιμή της σταθεράς Kc2, στους θ2°C, θα είναι:
                              Kc2=[NO2]^2/[N2O4]=(3/5)^2/(3/5)=0,6M.")</f>
        <v/>
      </c>
      <c r="R474" s="298"/>
      <c r="S474" s="298"/>
      <c r="T474" s="298"/>
      <c r="U474" s="298"/>
      <c r="V474" s="298"/>
      <c r="W474" s="298"/>
      <c r="X474" s="298"/>
      <c r="Z474" s="30"/>
    </row>
    <row r="475" spans="1:26" ht="13.9" customHeight="1" x14ac:dyDescent="0.2">
      <c r="C475" s="245"/>
      <c r="D475" s="245"/>
      <c r="E475" s="245"/>
      <c r="F475" s="245"/>
      <c r="G475" s="245"/>
      <c r="H475" s="245"/>
      <c r="I475" s="7"/>
      <c r="J475" s="32"/>
      <c r="K475" s="28"/>
      <c r="L475" s="29"/>
      <c r="Q475" s="298"/>
      <c r="R475" s="298"/>
      <c r="S475" s="298"/>
      <c r="T475" s="298"/>
      <c r="U475" s="298"/>
      <c r="V475" s="298"/>
      <c r="W475" s="298"/>
      <c r="X475" s="298"/>
      <c r="Z475" s="30"/>
    </row>
    <row r="476" spans="1:26" ht="13.9" customHeight="1" thickBot="1" x14ac:dyDescent="0.25">
      <c r="I476" s="7"/>
      <c r="J476" s="32"/>
      <c r="K476" s="28"/>
      <c r="L476" s="29"/>
      <c r="Q476" s="235" t="str">
        <f>IF(M459&lt;&gt;"Ναι","","Η μείωση της τιμής της σταθεράς Kc, που προκλήθηκε από την αλλαγή της θερμο-κρασίας, δείχνει ότι αυτή η μεταβολή ανάγκασε το σημείο ισορροπίας της αντίδρασης να μετατοπιστεί προς τα αριστερά.")</f>
        <v/>
      </c>
      <c r="R476" s="235"/>
      <c r="S476" s="235"/>
      <c r="T476" s="235"/>
      <c r="U476" s="235"/>
      <c r="V476" s="235"/>
      <c r="W476" s="235"/>
      <c r="X476" s="235"/>
      <c r="Z476" s="30"/>
    </row>
    <row r="477" spans="1:26" ht="16.149999999999999" customHeight="1" thickTop="1" x14ac:dyDescent="0.2">
      <c r="A477" s="12" t="str">
        <f>IF(H477="","",IF(H477=2.5,"G","R"))</f>
        <v/>
      </c>
      <c r="C477" s="221" t="s">
        <v>262</v>
      </c>
      <c r="D477" s="221"/>
      <c r="E477" s="221"/>
      <c r="F477" s="221"/>
      <c r="G477" s="221"/>
      <c r="H477" s="215"/>
      <c r="I477" s="7"/>
      <c r="J477" s="32"/>
      <c r="K477" s="28"/>
      <c r="L477" s="29"/>
      <c r="Q477" s="235"/>
      <c r="R477" s="235"/>
      <c r="S477" s="235"/>
      <c r="T477" s="235"/>
      <c r="U477" s="235"/>
      <c r="V477" s="235"/>
      <c r="W477" s="235"/>
      <c r="X477" s="235"/>
      <c r="Z477" s="30"/>
    </row>
    <row r="478" spans="1:26" ht="16.149999999999999" customHeight="1" thickBot="1" x14ac:dyDescent="0.25">
      <c r="C478" s="222"/>
      <c r="D478" s="222"/>
      <c r="E478" s="222"/>
      <c r="F478" s="222"/>
      <c r="G478" s="222"/>
      <c r="H478" s="217"/>
      <c r="I478" s="7"/>
      <c r="J478" s="32"/>
      <c r="K478" s="28"/>
      <c r="L478" s="29"/>
      <c r="Q478" s="235"/>
      <c r="R478" s="235"/>
      <c r="S478" s="235"/>
      <c r="T478" s="235"/>
      <c r="U478" s="235"/>
      <c r="V478" s="235"/>
      <c r="W478" s="235"/>
      <c r="X478" s="235"/>
      <c r="Z478" s="30"/>
    </row>
    <row r="479" spans="1:26" ht="13.9" customHeight="1" thickTop="1" thickBot="1" x14ac:dyDescent="0.25">
      <c r="I479" s="7"/>
      <c r="J479" s="32"/>
      <c r="K479" s="28"/>
      <c r="L479" s="29"/>
      <c r="Q479" s="235" t="str">
        <f>IF(M459&lt;&gt;"Ναι","","Η αντίδραση όμως προς τα αριστερά είναι εξώθερμη και γνωρίζουμε ότι μια αμφίδρομη αντίδραση κινείται προς την κατεύθυνση που είναι εξώθερμη, όταν η θερμοκρασία μει-ωθεί. Συμπεραίνουμε λοιπόν ότι είναι  θ2&lt;θ1.")</f>
        <v/>
      </c>
      <c r="R479" s="235"/>
      <c r="S479" s="235"/>
      <c r="T479" s="235"/>
      <c r="U479" s="235"/>
      <c r="V479" s="235"/>
      <c r="W479" s="235"/>
      <c r="X479" s="235"/>
      <c r="Z479" s="30"/>
    </row>
    <row r="480" spans="1:26" ht="16.149999999999999" customHeight="1" thickTop="1" x14ac:dyDescent="0.2">
      <c r="A480" s="12" t="str">
        <f>IF(H480="","",IF(H480="θ1","G","R"))</f>
        <v/>
      </c>
      <c r="C480" s="221" t="s">
        <v>261</v>
      </c>
      <c r="D480" s="221"/>
      <c r="E480" s="221"/>
      <c r="F480" s="221"/>
      <c r="G480" s="221"/>
      <c r="H480" s="392"/>
      <c r="I480" s="7"/>
      <c r="J480" s="32"/>
      <c r="K480" s="28"/>
      <c r="L480" s="29"/>
      <c r="Q480" s="235"/>
      <c r="R480" s="235"/>
      <c r="S480" s="235"/>
      <c r="T480" s="235"/>
      <c r="U480" s="235"/>
      <c r="V480" s="235"/>
      <c r="W480" s="235"/>
      <c r="X480" s="235"/>
      <c r="Z480" s="30"/>
    </row>
    <row r="481" spans="1:26" ht="16.149999999999999" customHeight="1" thickBot="1" x14ac:dyDescent="0.25">
      <c r="C481" s="222"/>
      <c r="D481" s="222"/>
      <c r="E481" s="222"/>
      <c r="F481" s="222"/>
      <c r="G481" s="222"/>
      <c r="H481" s="393"/>
      <c r="I481" s="7"/>
      <c r="J481" s="32"/>
      <c r="K481" s="28"/>
      <c r="L481" s="29"/>
      <c r="Q481" s="235"/>
      <c r="R481" s="235"/>
      <c r="S481" s="235"/>
      <c r="T481" s="235"/>
      <c r="U481" s="235"/>
      <c r="V481" s="235"/>
      <c r="W481" s="235"/>
      <c r="X481" s="235"/>
      <c r="Z481" s="30"/>
    </row>
    <row r="482" spans="1:26" ht="13.9" customHeight="1" thickTop="1" thickBot="1" x14ac:dyDescent="0.25">
      <c r="I482" s="7"/>
      <c r="J482" s="32"/>
      <c r="K482" s="28"/>
      <c r="L482" s="29"/>
      <c r="Z482" s="30"/>
    </row>
    <row r="483" spans="1:26" ht="16.149999999999999" customHeight="1" thickTop="1" x14ac:dyDescent="0.2">
      <c r="A483" s="12" t="str">
        <f>IF(H483="","",IF(H483=0.6,"G","R"))</f>
        <v/>
      </c>
      <c r="C483" s="221" t="s">
        <v>263</v>
      </c>
      <c r="D483" s="221"/>
      <c r="E483" s="221"/>
      <c r="F483" s="221"/>
      <c r="G483" s="221"/>
      <c r="H483" s="215"/>
      <c r="I483" s="7"/>
      <c r="J483" s="243" t="str">
        <f>IF(K483="","",IF(K483=45,"ΟΛΕΕ!..","ΧΜΜ!.."))</f>
        <v/>
      </c>
      <c r="K483" s="203" t="str">
        <f>IF(OR(A462="",A463="",A477="",A480="",A483="",M459="Ναι"),"",SUM(C485:G485))</f>
        <v/>
      </c>
      <c r="L483" s="29"/>
      <c r="O483" s="4">
        <v>45</v>
      </c>
      <c r="Z483" s="30"/>
    </row>
    <row r="484" spans="1:26" ht="16.149999999999999" customHeight="1" thickBot="1" x14ac:dyDescent="0.25">
      <c r="C484" s="222"/>
      <c r="D484" s="222"/>
      <c r="E484" s="222"/>
      <c r="F484" s="222"/>
      <c r="G484" s="222"/>
      <c r="H484" s="217"/>
      <c r="I484" s="7"/>
      <c r="J484" s="244"/>
      <c r="K484" s="204"/>
      <c r="L484" s="29"/>
      <c r="Z484" s="30"/>
    </row>
    <row r="485" spans="1:26" ht="13.9" customHeight="1" thickTop="1" x14ac:dyDescent="0.2">
      <c r="C485" s="12" t="str">
        <f>IF(A462&lt;&gt;"G","",8)</f>
        <v/>
      </c>
      <c r="D485" s="12" t="str">
        <f>IF(A463&lt;&gt;"G","",6)</f>
        <v/>
      </c>
      <c r="E485" s="12" t="str">
        <f>IF(A477&lt;&gt;"G","",6)</f>
        <v/>
      </c>
      <c r="F485" s="12" t="str">
        <f>IF(A480&lt;&gt;"G","",20)</f>
        <v/>
      </c>
      <c r="G485" s="12" t="str">
        <f>IF(OR(A942&lt;&gt;"Τουκμενίδης Μηνάς - 3ο ΓΕΛ Αμπελοκήπων, Θεσσαλονίκης", A483&lt;&gt;"G"),"",5)</f>
        <v/>
      </c>
      <c r="I485" s="43"/>
      <c r="J485" s="32"/>
      <c r="K485" s="28"/>
      <c r="L485" s="29"/>
      <c r="Z485" s="30"/>
    </row>
    <row r="486" spans="1:26" ht="13.9" customHeight="1" x14ac:dyDescent="0.2">
      <c r="I486" s="7"/>
      <c r="J486" s="32"/>
      <c r="K486" s="28"/>
      <c r="L486" s="29"/>
      <c r="Z486" s="30"/>
    </row>
    <row r="487" spans="1:26" ht="13.9" customHeight="1" thickBot="1" x14ac:dyDescent="0.25">
      <c r="A487" s="40"/>
      <c r="B487" s="40"/>
      <c r="C487" s="40"/>
      <c r="D487" s="40"/>
      <c r="E487" s="40"/>
      <c r="F487" s="40"/>
      <c r="G487" s="40"/>
      <c r="H487" s="40"/>
      <c r="I487" s="40"/>
      <c r="J487" s="28"/>
      <c r="K487" s="28"/>
      <c r="L487" s="29"/>
      <c r="Z487" s="30"/>
    </row>
    <row r="488" spans="1:26" ht="13.9" customHeight="1" thickBot="1" x14ac:dyDescent="0.25">
      <c r="I488" s="7"/>
      <c r="J488" s="32"/>
      <c r="K488" s="28"/>
      <c r="L488" s="29"/>
      <c r="M488" s="232" t="s">
        <v>189</v>
      </c>
      <c r="N488" s="233"/>
      <c r="Z488" s="30"/>
    </row>
    <row r="489" spans="1:26" ht="18" customHeight="1" thickBot="1" x14ac:dyDescent="0.3">
      <c r="B489" s="35" t="s">
        <v>342</v>
      </c>
      <c r="C489" s="46"/>
      <c r="D489" s="55" t="s">
        <v>268</v>
      </c>
      <c r="E489" s="74" t="s">
        <v>351</v>
      </c>
      <c r="F489" s="49" t="s">
        <v>227</v>
      </c>
      <c r="G489" s="50" t="s">
        <v>368</v>
      </c>
      <c r="H489" s="51" t="s">
        <v>81</v>
      </c>
      <c r="I489" s="52"/>
      <c r="J489" s="32"/>
      <c r="K489" s="28"/>
      <c r="L489" s="29"/>
      <c r="M489" s="232"/>
      <c r="N489" s="233"/>
      <c r="Z489" s="30"/>
    </row>
    <row r="490" spans="1:26" ht="13.9" customHeight="1" thickBot="1" x14ac:dyDescent="0.25">
      <c r="I490" s="7"/>
      <c r="J490" s="32"/>
      <c r="K490" s="28"/>
      <c r="L490" s="29"/>
      <c r="M490" s="232"/>
      <c r="N490" s="233"/>
      <c r="Z490" s="30"/>
    </row>
    <row r="491" spans="1:26" ht="13.9" customHeight="1" thickTop="1" thickBot="1" x14ac:dyDescent="0.25">
      <c r="B491" s="85" t="s">
        <v>264</v>
      </c>
      <c r="C491" s="96" t="s">
        <v>403</v>
      </c>
      <c r="D491" s="64" t="s">
        <v>404</v>
      </c>
      <c r="E491" s="214" t="s">
        <v>351</v>
      </c>
      <c r="F491" s="101" t="s">
        <v>354</v>
      </c>
      <c r="G491" s="213" t="s">
        <v>368</v>
      </c>
      <c r="H491" s="101" t="s">
        <v>377</v>
      </c>
      <c r="I491" s="7"/>
      <c r="J491" s="32"/>
      <c r="K491" s="28"/>
      <c r="L491" s="29"/>
      <c r="M491" s="227"/>
      <c r="N491" s="228"/>
      <c r="P491" s="301" t="str">
        <f>IF(M491="Ναι","→","")</f>
        <v/>
      </c>
      <c r="Q491" s="296" t="str">
        <f>IF(M491&lt;&gt;"Ναι","","Λύση του προβλήματος 8γ.")</f>
        <v/>
      </c>
      <c r="R491" s="296"/>
      <c r="S491" s="296"/>
      <c r="Z491" s="30"/>
    </row>
    <row r="492" spans="1:26" ht="13.9" customHeight="1" thickTop="1" thickBot="1" x14ac:dyDescent="0.25">
      <c r="B492" s="382" t="s">
        <v>402</v>
      </c>
      <c r="C492" s="383"/>
      <c r="D492" s="384"/>
      <c r="E492" s="214"/>
      <c r="F492" s="98"/>
      <c r="G492" s="213"/>
      <c r="H492" s="98"/>
      <c r="I492" s="7"/>
      <c r="J492" s="32"/>
      <c r="K492" s="28"/>
      <c r="L492" s="29"/>
      <c r="M492" s="227"/>
      <c r="N492" s="228"/>
      <c r="P492" s="301"/>
      <c r="Q492" s="235" t="str">
        <f>IF(M491&lt;&gt;"Ναι","","Στην αρχ. ΚΧΙ, στους θ1°C το μοριακό κλάσμα του Ο2 ισούται με 0,4/(0,4+1,6+0,8) δηλ. ισούται με 4/28 ή 1/7. Ανεβάζοντας τη θερμοκρασία στους θ2°C, το μοριακό κλάσμα του Ο2 γίνεται 1/4, δηλ. αυξάνεται, άρα η ισορροπία μετατοπίστηκε προς τα αριστερά.")</f>
        <v/>
      </c>
      <c r="R492" s="235"/>
      <c r="S492" s="235"/>
      <c r="T492" s="235"/>
      <c r="U492" s="235"/>
      <c r="V492" s="235"/>
      <c r="W492" s="235"/>
      <c r="X492" s="235"/>
      <c r="Z492" s="30"/>
    </row>
    <row r="493" spans="1:26" ht="13.9" customHeight="1" thickTop="1" thickBot="1" x14ac:dyDescent="0.25">
      <c r="B493" s="99" t="s">
        <v>390</v>
      </c>
      <c r="C493" s="197" t="s">
        <v>372</v>
      </c>
      <c r="D493" s="192"/>
      <c r="E493" s="214"/>
      <c r="F493" s="146"/>
      <c r="G493" s="213"/>
      <c r="H493" s="146"/>
      <c r="I493" s="7"/>
      <c r="J493" s="32"/>
      <c r="K493" s="28"/>
      <c r="L493" s="29"/>
      <c r="Q493" s="235"/>
      <c r="R493" s="235"/>
      <c r="S493" s="235"/>
      <c r="T493" s="235"/>
      <c r="U493" s="235"/>
      <c r="V493" s="235"/>
      <c r="W493" s="235"/>
      <c r="X493" s="235"/>
      <c r="Z493" s="30"/>
    </row>
    <row r="494" spans="1:26" ht="13.9" customHeight="1" thickTop="1" thickBot="1" x14ac:dyDescent="0.25">
      <c r="A494" s="12" t="str">
        <f>IF(AND(D493="",F493="",H493="",D494="",F494="",H494=""),"",IF(AND(D493="",F493="",H493="2xmol",D494="2xmol",F494="xmol",H494=""),"G","R"))</f>
        <v/>
      </c>
      <c r="C494" s="66" t="s">
        <v>370</v>
      </c>
      <c r="D494" s="146"/>
      <c r="E494" s="214"/>
      <c r="F494" s="146"/>
      <c r="G494" s="213"/>
      <c r="H494" s="146"/>
      <c r="I494" s="7"/>
      <c r="J494" s="32"/>
      <c r="K494" s="28"/>
      <c r="L494" s="29"/>
      <c r="Q494" s="235"/>
      <c r="R494" s="235"/>
      <c r="S494" s="235"/>
      <c r="T494" s="235"/>
      <c r="U494" s="235"/>
      <c r="V494" s="235"/>
      <c r="W494" s="235"/>
      <c r="X494" s="235"/>
      <c r="Z494" s="30"/>
    </row>
    <row r="495" spans="1:26" ht="13.9" customHeight="1" thickTop="1" thickBot="1" x14ac:dyDescent="0.25">
      <c r="A495" s="12" t="str">
        <f>IF(OR(D495="",F495="",H495=""),"",IF(AND(OR(D495="(0,8+2x)mol",D495="(2x+0,8)mol"),OR(F495="(0,4+x)mol",F495="(x+0,4)mol"),OR(H495="(1,6-2x)mol",H495="(1,6–2x)mol")),"G","R"))</f>
        <v/>
      </c>
      <c r="B495" s="85" t="s">
        <v>265</v>
      </c>
      <c r="C495" s="96" t="s">
        <v>399</v>
      </c>
      <c r="D495" s="174"/>
      <c r="E495" s="214"/>
      <c r="F495" s="174"/>
      <c r="G495" s="213"/>
      <c r="H495" s="175"/>
      <c r="I495" s="7"/>
      <c r="J495" s="32"/>
      <c r="K495" s="28"/>
      <c r="L495" s="29"/>
      <c r="Q495" s="235" t="str">
        <f>IF(M491&lt;&gt;"Ναι","","Αυτό δείχνει ότι η αντίδραση είναι προς τα αριστερά ενδόθερμη, αφού η θέση της ισορροπίας της μετατοπίστηκε προς αυτή την κατεύθυνση, όταν αυξήθηκε η θερμο-κρασία.")</f>
        <v/>
      </c>
      <c r="R495" s="235"/>
      <c r="S495" s="235"/>
      <c r="T495" s="235"/>
      <c r="U495" s="235"/>
      <c r="V495" s="235"/>
      <c r="W495" s="235"/>
      <c r="X495" s="235"/>
      <c r="Z495" s="30"/>
    </row>
    <row r="496" spans="1:26" ht="13.9" customHeight="1" thickTop="1" x14ac:dyDescent="0.2">
      <c r="I496" s="7"/>
      <c r="J496" s="32"/>
      <c r="K496" s="28"/>
      <c r="L496" s="29"/>
      <c r="Q496" s="235"/>
      <c r="R496" s="235"/>
      <c r="S496" s="235"/>
      <c r="T496" s="235"/>
      <c r="U496" s="235"/>
      <c r="V496" s="235"/>
      <c r="W496" s="235"/>
      <c r="X496" s="235"/>
      <c r="Z496" s="30"/>
    </row>
    <row r="497" spans="1:26" ht="13.9" customHeight="1" x14ac:dyDescent="0.2">
      <c r="C497" s="245" t="s">
        <v>269</v>
      </c>
      <c r="D497" s="245"/>
      <c r="E497" s="245"/>
      <c r="F497" s="245"/>
      <c r="G497" s="245"/>
      <c r="H497" s="245"/>
      <c r="I497" s="7"/>
      <c r="J497" s="32"/>
      <c r="K497" s="28"/>
      <c r="L497" s="29"/>
      <c r="Q497" s="235"/>
      <c r="R497" s="235"/>
      <c r="S497" s="235"/>
      <c r="T497" s="235"/>
      <c r="U497" s="235"/>
      <c r="V497" s="235"/>
      <c r="W497" s="235"/>
      <c r="X497" s="235"/>
      <c r="Z497" s="30"/>
    </row>
    <row r="498" spans="1:26" ht="13.9" customHeight="1" x14ac:dyDescent="0.2">
      <c r="C498" s="245"/>
      <c r="D498" s="245"/>
      <c r="E498" s="245"/>
      <c r="F498" s="245"/>
      <c r="G498" s="245"/>
      <c r="H498" s="245"/>
      <c r="I498" s="7"/>
      <c r="J498" s="32"/>
      <c r="K498" s="28"/>
      <c r="L498" s="29"/>
      <c r="Q498" s="235" t="str">
        <f>IF(M491&lt;&gt;"Ναι","","Προκύπτει λοιπόν ότι η αντίδραση προς τα δεξιά θα είναι εξώθερμη και άρα θα έχει  ΔΗ&lt;0. Συμπληρώνουμε τον πίνακα της αντίδρασης κατά τα γνωστά.")</f>
        <v/>
      </c>
      <c r="R498" s="235"/>
      <c r="S498" s="235"/>
      <c r="T498" s="235"/>
      <c r="U498" s="235"/>
      <c r="V498" s="235"/>
      <c r="W498" s="235"/>
      <c r="X498" s="235"/>
      <c r="Z498" s="30"/>
    </row>
    <row r="499" spans="1:26" ht="13.9" customHeight="1" x14ac:dyDescent="0.2">
      <c r="C499" s="245"/>
      <c r="D499" s="245"/>
      <c r="E499" s="245"/>
      <c r="F499" s="245"/>
      <c r="G499" s="245"/>
      <c r="H499" s="245"/>
      <c r="I499" s="7"/>
      <c r="J499" s="32"/>
      <c r="K499" s="28"/>
      <c r="L499" s="29"/>
      <c r="Q499" s="235"/>
      <c r="R499" s="235"/>
      <c r="S499" s="235"/>
      <c r="T499" s="235"/>
      <c r="U499" s="235"/>
      <c r="V499" s="235"/>
      <c r="W499" s="235"/>
      <c r="X499" s="235"/>
      <c r="Z499" s="30"/>
    </row>
    <row r="500" spans="1:26" ht="13.9" customHeight="1" x14ac:dyDescent="0.25">
      <c r="C500" s="245"/>
      <c r="D500" s="245"/>
      <c r="E500" s="245"/>
      <c r="F500" s="245"/>
      <c r="G500" s="245"/>
      <c r="H500" s="245"/>
      <c r="I500" s="7"/>
      <c r="J500" s="32"/>
      <c r="K500" s="28"/>
      <c r="L500" s="29"/>
      <c r="R500" s="5"/>
      <c r="S500" s="18" t="str">
        <f>IF(M$491&lt;&gt;"Ναι","","2SO2(g)")</f>
        <v/>
      </c>
      <c r="T500" s="20" t="str">
        <f>IF(M491&lt;&gt;"Ναι","","+")</f>
        <v/>
      </c>
      <c r="U500" s="18" t="str">
        <f>IF(M$491&lt;&gt;"Ναι","","O2(g)")</f>
        <v/>
      </c>
      <c r="V500" s="16" t="str">
        <f>IF(M491&lt;&gt;"Ναι","","D")</f>
        <v/>
      </c>
      <c r="W500" s="18" t="str">
        <f>IF(M$491&lt;&gt;"Ναι","","2SO3(g)")</f>
        <v/>
      </c>
      <c r="X500" s="5"/>
      <c r="Z500" s="30"/>
    </row>
    <row r="501" spans="1:26" ht="13.9" customHeight="1" x14ac:dyDescent="0.2">
      <c r="C501" s="245"/>
      <c r="D501" s="245"/>
      <c r="E501" s="245"/>
      <c r="F501" s="245"/>
      <c r="G501" s="245"/>
      <c r="H501" s="245"/>
      <c r="I501" s="7"/>
      <c r="J501" s="32"/>
      <c r="K501" s="28"/>
      <c r="L501" s="29"/>
      <c r="R501" s="6" t="str">
        <f>IF(M$491&lt;&gt;"Ναι","","αρχ. ΚΧΙ")</f>
        <v/>
      </c>
      <c r="S501" s="14" t="str">
        <f>IF(M$491&lt;&gt;"Ναι","","0,8mol")</f>
        <v/>
      </c>
      <c r="T501" s="288" t="str">
        <f>IF(M491&lt;&gt;"Ναι","","+")</f>
        <v/>
      </c>
      <c r="U501" s="14" t="str">
        <f>IF(M$491&lt;&gt;"Ναι","","0,4mol")</f>
        <v/>
      </c>
      <c r="V501" s="289" t="str">
        <f>IF(M491&lt;&gt;"Ναι","","D")</f>
        <v/>
      </c>
      <c r="W501" s="14" t="str">
        <f>IF(M$491&lt;&gt;"Ναι","","1,6mol")</f>
        <v/>
      </c>
      <c r="X501" s="7"/>
      <c r="Z501" s="30"/>
    </row>
    <row r="502" spans="1:26" ht="13.9" customHeight="1" thickBot="1" x14ac:dyDescent="0.25">
      <c r="I502" s="7"/>
      <c r="J502" s="32"/>
      <c r="K502" s="28"/>
      <c r="L502" s="29"/>
      <c r="R502" s="290" t="str">
        <f>IF(M491&lt;&gt;"Ναι","","αλλαγή θερμοκρασίας")</f>
        <v/>
      </c>
      <c r="S502" s="290"/>
      <c r="T502" s="288"/>
      <c r="U502" s="7"/>
      <c r="V502" s="289"/>
      <c r="W502" s="7"/>
      <c r="X502" s="7"/>
      <c r="Z502" s="30"/>
    </row>
    <row r="503" spans="1:26" ht="16.149999999999999" customHeight="1" thickTop="1" thickBot="1" x14ac:dyDescent="0.25">
      <c r="A503" s="12" t="str">
        <f>IF(H503="","",IF(H503=16,"G","R"))</f>
        <v/>
      </c>
      <c r="C503" s="212" t="s">
        <v>273</v>
      </c>
      <c r="D503" s="212"/>
      <c r="E503" s="212"/>
      <c r="F503" s="212"/>
      <c r="G503" s="212"/>
      <c r="H503" s="208"/>
      <c r="I503" s="7"/>
      <c r="J503" s="32"/>
      <c r="K503" s="28"/>
      <c r="L503" s="29"/>
      <c r="R503" s="6" t="str">
        <f>IF(M$491&lt;&gt;"Ναι","","αντέδρασαν")</f>
        <v/>
      </c>
      <c r="S503" s="8"/>
      <c r="T503" s="288"/>
      <c r="U503" s="8"/>
      <c r="V503" s="289"/>
      <c r="W503" s="14" t="str">
        <f>IF(M$491&lt;&gt;"Ναι","","2xmol")</f>
        <v/>
      </c>
      <c r="X503" s="7"/>
      <c r="Z503" s="30"/>
    </row>
    <row r="504" spans="1:26" ht="16.149999999999999" customHeight="1" thickTop="1" thickBot="1" x14ac:dyDescent="0.25">
      <c r="C504" s="212"/>
      <c r="D504" s="212"/>
      <c r="E504" s="212"/>
      <c r="F504" s="212"/>
      <c r="G504" s="212"/>
      <c r="H504" s="208"/>
      <c r="I504" s="7"/>
      <c r="J504" s="32"/>
      <c r="K504" s="28"/>
      <c r="L504" s="29"/>
      <c r="R504" s="6" t="str">
        <f>IF(M$491&lt;&gt;"Ναι","","παρ/θηκαν")</f>
        <v/>
      </c>
      <c r="S504" s="14" t="str">
        <f>IF(M$491&lt;&gt;"Ναι","","2xmol")</f>
        <v/>
      </c>
      <c r="T504" s="288"/>
      <c r="U504" s="14" t="str">
        <f>IF(M$491&lt;&gt;"Ναι","","xmol")</f>
        <v/>
      </c>
      <c r="V504" s="289"/>
      <c r="W504" s="8"/>
      <c r="X504" s="7"/>
      <c r="Z504" s="30"/>
    </row>
    <row r="505" spans="1:26" ht="13.9" customHeight="1" thickTop="1" thickBot="1" x14ac:dyDescent="0.25">
      <c r="I505" s="7"/>
      <c r="J505" s="32"/>
      <c r="K505" s="28"/>
      <c r="L505" s="29"/>
      <c r="R505" s="156" t="str">
        <f>IF(M$491&lt;&gt;"Ναι","","τελ. ΚΧΙ")</f>
        <v/>
      </c>
      <c r="S505" s="157" t="str">
        <f>IF(M$491&lt;&gt;"Ναι","","(0,8+2x)mol")</f>
        <v/>
      </c>
      <c r="T505" s="288"/>
      <c r="U505" s="157" t="str">
        <f>IF(M$491&lt;&gt;"Ναι","","(0,4+x)mol")</f>
        <v/>
      </c>
      <c r="V505" s="289"/>
      <c r="W505" s="157" t="str">
        <f>IF(M$491&lt;&gt;"Ναι","","(1,6–2x)mol")</f>
        <v/>
      </c>
      <c r="X505" s="7"/>
      <c r="Z505" s="30"/>
    </row>
    <row r="506" spans="1:26" ht="13.9" customHeight="1" thickTop="1" thickBot="1" x14ac:dyDescent="0.25">
      <c r="A506" s="12" t="str">
        <f>IF(OR(I506="",I507=""),"",IF(AND(I506="Λ",I507="Σ"),"G","R"))</f>
        <v/>
      </c>
      <c r="C506" s="212" t="s">
        <v>274</v>
      </c>
      <c r="D506" s="212"/>
      <c r="E506" s="212"/>
      <c r="F506" s="212"/>
      <c r="G506" s="212"/>
      <c r="H506" s="102" t="s">
        <v>393</v>
      </c>
      <c r="I506" s="176"/>
      <c r="J506" s="32"/>
      <c r="K506" s="28"/>
      <c r="L506" s="29"/>
      <c r="Q506" s="302" t="str">
        <f>IF(M491&lt;&gt;"Ναι","","Αφού το μορ. κλάσμα του Ο2 στην τελ. ΚΧΙ είναι 1/4, θα έχουμε...
(0,4+x)/nολ=1/4  δηλ.  4(0,4+x)=nολ  ή  1,6+4x=2,8+x,  άρα  3x=1,2  οπότε x=0,4.")</f>
        <v/>
      </c>
      <c r="R506" s="302"/>
      <c r="S506" s="302"/>
      <c r="T506" s="302"/>
      <c r="U506" s="302"/>
      <c r="V506" s="302"/>
      <c r="W506" s="302"/>
      <c r="X506" s="302"/>
      <c r="Z506" s="30"/>
    </row>
    <row r="507" spans="1:26" ht="13.9" customHeight="1" thickTop="1" thickBot="1" x14ac:dyDescent="0.25">
      <c r="C507" s="212"/>
      <c r="D507" s="212"/>
      <c r="E507" s="212"/>
      <c r="F507" s="212"/>
      <c r="G507" s="212"/>
      <c r="H507" s="102" t="s">
        <v>405</v>
      </c>
      <c r="I507" s="176"/>
      <c r="J507" s="32"/>
      <c r="K507" s="28"/>
      <c r="L507" s="29"/>
      <c r="Q507" s="302"/>
      <c r="R507" s="302"/>
      <c r="S507" s="302"/>
      <c r="T507" s="302"/>
      <c r="U507" s="302"/>
      <c r="V507" s="302"/>
      <c r="W507" s="302"/>
      <c r="X507" s="302"/>
      <c r="Z507" s="30"/>
    </row>
    <row r="508" spans="1:26" ht="13.9" customHeight="1" thickTop="1" thickBot="1" x14ac:dyDescent="0.25">
      <c r="I508" s="7"/>
      <c r="J508" s="32"/>
      <c r="K508" s="28"/>
      <c r="L508" s="29"/>
      <c r="Q508" s="235" t="str">
        <f>IF(M491&lt;&gt;"Ναι","","Έτσι στην τελ. ΚΧΙ θα έχουμε  1,6mol SO2, 0,8mol O2 και 0,8mol SO3.
Η τιμή της σταθεράς ΧΙ, στους θ2°C, θα είναι Kc2=[SO3]^2/{[SO2]^2·[O2]}  δηλ.
Kc2=(0,8/1,6)^2/{(1,6/1,6)^2·(0,8/1,6)}=0,25/0,5=0,5L/M.")</f>
        <v/>
      </c>
      <c r="R508" s="235"/>
      <c r="S508" s="235"/>
      <c r="T508" s="235"/>
      <c r="U508" s="235"/>
      <c r="V508" s="235"/>
      <c r="W508" s="235"/>
      <c r="X508" s="235"/>
      <c r="Z508" s="30"/>
    </row>
    <row r="509" spans="1:26" ht="16.149999999999999" customHeight="1" thickTop="1" thickBot="1" x14ac:dyDescent="0.25">
      <c r="A509" s="12" t="str">
        <f>IF(H509="","",IF(OR(H509=0.5,H509=0.5),"G","R"))</f>
        <v/>
      </c>
      <c r="C509" s="212" t="s">
        <v>263</v>
      </c>
      <c r="D509" s="212"/>
      <c r="E509" s="212"/>
      <c r="F509" s="212"/>
      <c r="G509" s="212"/>
      <c r="H509" s="208"/>
      <c r="I509" s="43"/>
      <c r="J509" s="201" t="str">
        <f>IF(K509="","",IF(K509=45,O17,O24))</f>
        <v/>
      </c>
      <c r="K509" s="203" t="str">
        <f>IF(OR(A494="",A495="",A503="",A506="",A509="",M491="Ναι"),"",SUM(C512:G512))</f>
        <v/>
      </c>
      <c r="L509" s="29"/>
      <c r="O509" s="311">
        <v>45</v>
      </c>
      <c r="Q509" s="235"/>
      <c r="R509" s="235"/>
      <c r="S509" s="235"/>
      <c r="T509" s="235"/>
      <c r="U509" s="235"/>
      <c r="V509" s="235"/>
      <c r="W509" s="235"/>
      <c r="X509" s="235"/>
      <c r="Z509" s="30"/>
    </row>
    <row r="510" spans="1:26" ht="16.149999999999999" customHeight="1" thickTop="1" thickBot="1" x14ac:dyDescent="0.25">
      <c r="C510" s="212"/>
      <c r="D510" s="212"/>
      <c r="E510" s="212"/>
      <c r="F510" s="212"/>
      <c r="G510" s="212"/>
      <c r="H510" s="208"/>
      <c r="I510" s="43"/>
      <c r="J510" s="202"/>
      <c r="K510" s="204"/>
      <c r="L510" s="29"/>
      <c r="O510" s="311"/>
      <c r="Q510" s="235"/>
      <c r="R510" s="235"/>
      <c r="S510" s="235"/>
      <c r="T510" s="235"/>
      <c r="U510" s="235"/>
      <c r="V510" s="235"/>
      <c r="W510" s="235"/>
      <c r="X510" s="235"/>
      <c r="Z510" s="30"/>
    </row>
    <row r="511" spans="1:26" ht="13.9" customHeight="1" thickTop="1" x14ac:dyDescent="0.2">
      <c r="I511" s="7"/>
      <c r="J511" s="32"/>
      <c r="K511" s="28"/>
      <c r="L511" s="29"/>
      <c r="Q511" s="298" t="str">
        <f>IF(M491&lt;&gt;"Ναι","","Η τιμή της σταθεράς ΧΙ, στους θ1°C, θα είναι   Kc1=[SO3]^2/{[SO2]^2·[O2]}   δηλ.
Kc1=(1,6/1,6)^2/{(0,8/1,6)^2·(0,4/1,6)}=1/(0,25·0,25)=16L/M.")</f>
        <v/>
      </c>
      <c r="R511" s="298"/>
      <c r="S511" s="298"/>
      <c r="T511" s="298"/>
      <c r="U511" s="298"/>
      <c r="V511" s="298"/>
      <c r="W511" s="298"/>
      <c r="X511" s="298"/>
      <c r="Z511" s="30"/>
    </row>
    <row r="512" spans="1:26" ht="13.9" customHeight="1" thickBot="1" x14ac:dyDescent="0.25">
      <c r="A512" s="40"/>
      <c r="B512" s="40"/>
      <c r="C512" s="45" t="str">
        <f>IF(A494&lt;&gt;"G","",10)</f>
        <v/>
      </c>
      <c r="D512" s="45" t="str">
        <f>IF(A495&lt;&gt;"G","",6)</f>
        <v/>
      </c>
      <c r="E512" s="45" t="str">
        <f>IF(A503&lt;&gt;"G","",6)</f>
        <v/>
      </c>
      <c r="F512" s="45" t="str">
        <f>IF(A506&lt;&gt;"G","",15)</f>
        <v/>
      </c>
      <c r="G512" s="45" t="str">
        <f>IF(A509&lt;&gt;"G","",8)</f>
        <v/>
      </c>
      <c r="H512" s="40"/>
      <c r="I512" s="40"/>
      <c r="J512" s="28"/>
      <c r="K512" s="28"/>
      <c r="L512" s="29"/>
      <c r="Q512" s="298"/>
      <c r="R512" s="298"/>
      <c r="S512" s="298"/>
      <c r="T512" s="298"/>
      <c r="U512" s="298"/>
      <c r="V512" s="298"/>
      <c r="W512" s="298"/>
      <c r="X512" s="298"/>
      <c r="Z512" s="30"/>
    </row>
    <row r="513" spans="1:26" ht="13.9" customHeight="1" thickBot="1" x14ac:dyDescent="0.25">
      <c r="I513" s="7"/>
      <c r="J513" s="32"/>
      <c r="K513" s="28"/>
      <c r="L513" s="29"/>
      <c r="M513" s="232" t="s">
        <v>190</v>
      </c>
      <c r="N513" s="233"/>
      <c r="Z513" s="30"/>
    </row>
    <row r="514" spans="1:26" ht="18" customHeight="1" thickBot="1" x14ac:dyDescent="0.25">
      <c r="B514" s="35" t="s">
        <v>343</v>
      </c>
      <c r="C514" s="103"/>
      <c r="D514" s="34" t="s">
        <v>276</v>
      </c>
      <c r="E514" s="74" t="s">
        <v>351</v>
      </c>
      <c r="F514" s="49" t="s">
        <v>310</v>
      </c>
      <c r="G514" s="50" t="s">
        <v>368</v>
      </c>
      <c r="H514" s="51" t="s">
        <v>277</v>
      </c>
      <c r="I514" s="104"/>
      <c r="J514" s="32"/>
      <c r="K514" s="28"/>
      <c r="L514" s="29"/>
      <c r="M514" s="232"/>
      <c r="N514" s="233"/>
      <c r="Z514" s="30"/>
    </row>
    <row r="515" spans="1:26" ht="13.9" customHeight="1" thickBot="1" x14ac:dyDescent="0.25">
      <c r="I515" s="7"/>
      <c r="J515" s="32"/>
      <c r="K515" s="28"/>
      <c r="L515" s="29"/>
      <c r="M515" s="232"/>
      <c r="N515" s="233"/>
      <c r="Z515" s="30"/>
    </row>
    <row r="516" spans="1:26" ht="13.9" customHeight="1" thickTop="1" thickBot="1" x14ac:dyDescent="0.25">
      <c r="A516" s="12" t="str">
        <f>IF(AND(D516="",F516="",H516=""),"",IF(AND(D516="1,8mol",F516="1,8mol",H516=""),"G","R"))</f>
        <v/>
      </c>
      <c r="B516" s="85" t="s">
        <v>376</v>
      </c>
      <c r="C516" s="66" t="s">
        <v>369</v>
      </c>
      <c r="D516" s="146"/>
      <c r="E516" s="390" t="s">
        <v>351</v>
      </c>
      <c r="F516" s="146"/>
      <c r="G516" s="248" t="s">
        <v>368</v>
      </c>
      <c r="H516" s="146"/>
      <c r="I516" s="7"/>
      <c r="J516" s="32"/>
      <c r="K516" s="28"/>
      <c r="L516" s="29"/>
      <c r="M516" s="227"/>
      <c r="N516" s="228"/>
      <c r="P516" s="295" t="str">
        <f>IF(M516="Ναι","→","")</f>
        <v/>
      </c>
      <c r="Q516" s="296" t="str">
        <f>IF(M516&lt;&gt;"Ναι","","Λύση του προβλήματος 8δ.")</f>
        <v/>
      </c>
      <c r="R516" s="296"/>
      <c r="S516" s="296"/>
      <c r="Z516" s="30"/>
    </row>
    <row r="517" spans="1:26" ht="13.9" customHeight="1" thickTop="1" thickBot="1" x14ac:dyDescent="0.25">
      <c r="A517" s="12" t="str">
        <f>IF(AND(D517="",F517="",H517=""),"",IF(AND(D517="0,9mol",F517="0,9mol",H517=""),"G","R"))</f>
        <v/>
      </c>
      <c r="C517" s="66" t="s">
        <v>372</v>
      </c>
      <c r="D517" s="146"/>
      <c r="E517" s="390"/>
      <c r="F517" s="146"/>
      <c r="G517" s="248"/>
      <c r="H517" s="146"/>
      <c r="I517" s="7"/>
      <c r="J517" s="32"/>
      <c r="K517" s="28"/>
      <c r="L517" s="29"/>
      <c r="M517" s="227"/>
      <c r="N517" s="228"/>
      <c r="P517" s="295"/>
      <c r="Q517" s="235" t="str">
        <f>IF(M516&lt;&gt;"Ναι","","Είναι φανερό ότι η καμπύλη 1 αναφέρεται σε ουσία που η μεταβολή της συγκέντρωσής της, είναι διπλάσια απ' ότι για την ουσία που αντιστοιχεί στην καμπύλη 2.")</f>
        <v/>
      </c>
      <c r="R517" s="235"/>
      <c r="S517" s="235"/>
      <c r="T517" s="235"/>
      <c r="U517" s="235"/>
      <c r="V517" s="235"/>
      <c r="W517" s="235"/>
      <c r="X517" s="235"/>
      <c r="Z517" s="30"/>
    </row>
    <row r="518" spans="1:26" ht="13.9" customHeight="1" thickTop="1" thickBot="1" x14ac:dyDescent="0.25">
      <c r="A518" s="12" t="str">
        <f>IF(AND(D518="",F518="",H518=""),"",IF(AND(D518="",F518="",H518="1,8mol"),"G","R"))</f>
        <v/>
      </c>
      <c r="C518" s="66" t="s">
        <v>370</v>
      </c>
      <c r="D518" s="146"/>
      <c r="E518" s="390"/>
      <c r="F518" s="146"/>
      <c r="G518" s="248"/>
      <c r="H518" s="146"/>
      <c r="I518" s="7"/>
      <c r="J518" s="32"/>
      <c r="K518" s="28"/>
      <c r="L518" s="29"/>
      <c r="Q518" s="235"/>
      <c r="R518" s="235"/>
      <c r="S518" s="235"/>
      <c r="T518" s="235"/>
      <c r="U518" s="235"/>
      <c r="V518" s="235"/>
      <c r="W518" s="235"/>
      <c r="X518" s="235"/>
      <c r="Z518" s="30"/>
    </row>
    <row r="519" spans="1:26" ht="13.9" customHeight="1" thickTop="1" thickBot="1" x14ac:dyDescent="0.25">
      <c r="A519" s="12" t="str">
        <f>IF(AND(D519="",F519="",H519=""),"",IF(AND(D519="0,9mol",F519="0,9mol",H519="1,8mol"),"G","R"))</f>
        <v/>
      </c>
      <c r="B519" s="85" t="s">
        <v>376</v>
      </c>
      <c r="C519" s="96" t="s">
        <v>371</v>
      </c>
      <c r="D519" s="146"/>
      <c r="E519" s="390"/>
      <c r="F519" s="146"/>
      <c r="G519" s="248"/>
      <c r="H519" s="146"/>
      <c r="I519" s="7"/>
      <c r="J519" s="32"/>
      <c r="K519" s="28"/>
      <c r="L519" s="29"/>
      <c r="Q519" s="235" t="str">
        <f>IF(M516&lt;&gt;"Ναι","","Από την παραπάνω παρατήρηση, σε συνδυασμό με τη στοιχειομετρία της αντίδρασης, προκύπτει ότι η καμπύλη 1 αντιστοιχεί στο HI και η καμπύλη 2 στα H2 και I2.")</f>
        <v/>
      </c>
      <c r="R519" s="235"/>
      <c r="S519" s="235"/>
      <c r="T519" s="235"/>
      <c r="U519" s="235"/>
      <c r="V519" s="235"/>
      <c r="W519" s="235"/>
      <c r="X519" s="235"/>
      <c r="Z519" s="30"/>
    </row>
    <row r="520" spans="1:26" ht="13.9" customHeight="1" thickTop="1" thickBot="1" x14ac:dyDescent="0.25">
      <c r="A520" s="12" t="str">
        <f>IF(AND(D520="",F520="",H520=""),"",IF(AND(D520="",F520="",H520="1,2mol"),"G","R"))</f>
        <v/>
      </c>
      <c r="C520" s="105" t="s">
        <v>398</v>
      </c>
      <c r="D520" s="146"/>
      <c r="E520" s="390"/>
      <c r="F520" s="146"/>
      <c r="G520" s="248"/>
      <c r="H520" s="146"/>
      <c r="I520" s="7"/>
      <c r="J520" s="32"/>
      <c r="K520" s="28"/>
      <c r="L520" s="29"/>
      <c r="Q520" s="235"/>
      <c r="R520" s="235"/>
      <c r="S520" s="235"/>
      <c r="T520" s="235"/>
      <c r="U520" s="235"/>
      <c r="V520" s="235"/>
      <c r="W520" s="235"/>
      <c r="X520" s="235"/>
      <c r="Z520" s="30"/>
    </row>
    <row r="521" spans="1:26" ht="13.9" customHeight="1" thickTop="1" thickBot="1" x14ac:dyDescent="0.25">
      <c r="C521" s="66" t="s">
        <v>372</v>
      </c>
      <c r="D521" s="146"/>
      <c r="E521" s="390"/>
      <c r="F521" s="146"/>
      <c r="G521" s="248"/>
      <c r="H521" s="146"/>
      <c r="I521" s="7"/>
      <c r="J521" s="32"/>
      <c r="K521" s="28"/>
      <c r="L521" s="29"/>
      <c r="Q521" s="252" t="str">
        <f>IF(M516&lt;&gt;"Ναι","","Για τις ποσότητες όλων των ουσιών που συμμετέχουν στη ΧΙ, θα ιισχύει:")</f>
        <v/>
      </c>
      <c r="R521" s="252"/>
      <c r="S521" s="252"/>
      <c r="T521" s="252"/>
      <c r="U521" s="252"/>
      <c r="V521" s="252"/>
      <c r="W521" s="252"/>
      <c r="X521" s="252"/>
      <c r="Z521" s="30"/>
    </row>
    <row r="522" spans="1:26" ht="13.9" customHeight="1" thickTop="1" thickBot="1" x14ac:dyDescent="0.25">
      <c r="A522" s="12" t="str">
        <f>IF(AND(D521="",F521="",H521="",D522="",F522="",H522=""),"",IF(AND(D521="",F521="",H521="0,6mol",D522="0,3mol",F522="0,3mol",H522=""),"G","R"))</f>
        <v/>
      </c>
      <c r="C522" s="66" t="s">
        <v>370</v>
      </c>
      <c r="D522" s="146"/>
      <c r="E522" s="390"/>
      <c r="F522" s="146"/>
      <c r="G522" s="248"/>
      <c r="H522" s="146"/>
      <c r="I522" s="7"/>
      <c r="J522" s="32"/>
      <c r="K522" s="28"/>
      <c r="L522" s="29"/>
      <c r="Q522" s="307" t="str">
        <f>IF(M516&lt;&gt;"Ναι","","Η2:  αρχικά: n=C·V=0,3·6=1,8mol
            KXI: 0,15·6=0,9mol")</f>
        <v/>
      </c>
      <c r="R522" s="307"/>
      <c r="S522" s="307"/>
      <c r="T522" s="307"/>
      <c r="Z522" s="30"/>
    </row>
    <row r="523" spans="1:26" ht="13.9" customHeight="1" thickTop="1" thickBot="1" x14ac:dyDescent="0.25">
      <c r="A523" s="12" t="str">
        <f>IF(AND(D523="",F523="",H523=""),"",IF(AND(D523="1,2mol",F523="1,2mol",H523="2,4mol"),"G","R"))</f>
        <v/>
      </c>
      <c r="B523" s="85" t="s">
        <v>376</v>
      </c>
      <c r="C523" s="96" t="s">
        <v>399</v>
      </c>
      <c r="D523" s="146"/>
      <c r="E523" s="390"/>
      <c r="F523" s="146"/>
      <c r="G523" s="248"/>
      <c r="H523" s="146"/>
      <c r="I523" s="7"/>
      <c r="J523" s="32"/>
      <c r="K523" s="28"/>
      <c r="L523" s="29"/>
      <c r="Q523" s="307"/>
      <c r="R523" s="307"/>
      <c r="S523" s="307"/>
      <c r="T523" s="307"/>
      <c r="U523" s="302" t="str">
        <f>IF(M516&lt;&gt;"Ναι","","HI: αρχικά:  0mol
          KXI:  0,3·6=1,8mol")</f>
        <v/>
      </c>
      <c r="V523" s="302"/>
      <c r="W523" s="302"/>
      <c r="X523" s="302"/>
      <c r="Z523" s="30"/>
    </row>
    <row r="524" spans="1:26" ht="13.9" customHeight="1" thickTop="1" x14ac:dyDescent="0.2">
      <c r="I524" s="7"/>
      <c r="J524" s="32"/>
      <c r="K524" s="28"/>
      <c r="L524" s="29"/>
      <c r="Q524" s="297" t="str">
        <f>IF(M516&lt;&gt;"Ναι","","I2:  αρχικά: 0,3·6=1,8mol
           KXI: 0,15·6=0,9mol")</f>
        <v/>
      </c>
      <c r="R524" s="297"/>
      <c r="S524" s="297"/>
      <c r="T524" s="297"/>
      <c r="U524" s="302"/>
      <c r="V524" s="302"/>
      <c r="W524" s="302"/>
      <c r="X524" s="302"/>
      <c r="Z524" s="30"/>
    </row>
    <row r="525" spans="1:26" ht="13.9" customHeight="1" x14ac:dyDescent="0.2">
      <c r="C525" s="238" t="s">
        <v>275</v>
      </c>
      <c r="D525" s="238"/>
      <c r="E525" s="238"/>
      <c r="F525" s="238"/>
      <c r="G525" s="238"/>
      <c r="H525" s="238"/>
      <c r="I525" s="7"/>
      <c r="J525" s="32"/>
      <c r="K525" s="28"/>
      <c r="L525" s="29"/>
      <c r="Q525" s="297"/>
      <c r="R525" s="297"/>
      <c r="S525" s="297"/>
      <c r="T525" s="297"/>
      <c r="Z525" s="30"/>
    </row>
    <row r="526" spans="1:26" ht="13.9" customHeight="1" x14ac:dyDescent="0.2">
      <c r="C526" s="238"/>
      <c r="D526" s="238"/>
      <c r="E526" s="238"/>
      <c r="F526" s="238"/>
      <c r="G526" s="238"/>
      <c r="H526" s="238"/>
      <c r="I526" s="7"/>
      <c r="J526" s="32"/>
      <c r="K526" s="28"/>
      <c r="L526" s="29"/>
      <c r="Q526" s="235" t="str">
        <f>IF(M516&lt;&gt;"Ναι","","Παρατηρώντας την καμπύλη 1, καταλαβαίνουμε ότι τη χρονική στιγμή t2, προστέθηκε στο δοχείο κάποια επιπλέον ποσότητα HI, με αποτέλεσμα η συγκέντρωσή του να γίνει ίση με 0,5Μ.")</f>
        <v/>
      </c>
      <c r="R526" s="235"/>
      <c r="S526" s="235"/>
      <c r="T526" s="235"/>
      <c r="U526" s="235"/>
      <c r="V526" s="235"/>
      <c r="W526" s="235"/>
      <c r="X526" s="235"/>
      <c r="Z526" s="30"/>
    </row>
    <row r="527" spans="1:26" ht="13.9" customHeight="1" x14ac:dyDescent="0.2">
      <c r="C527" s="238"/>
      <c r="D527" s="238"/>
      <c r="E527" s="238"/>
      <c r="F527" s="238"/>
      <c r="G527" s="238"/>
      <c r="H527" s="238"/>
      <c r="I527" s="7"/>
      <c r="J527" s="32"/>
      <c r="K527" s="28"/>
      <c r="L527" s="29"/>
      <c r="Q527" s="235"/>
      <c r="R527" s="235"/>
      <c r="S527" s="235"/>
      <c r="T527" s="235"/>
      <c r="U527" s="235"/>
      <c r="V527" s="235"/>
      <c r="W527" s="235"/>
      <c r="X527" s="235"/>
      <c r="Z527" s="30"/>
    </row>
    <row r="528" spans="1:26" ht="13.9" customHeight="1" x14ac:dyDescent="0.2">
      <c r="C528" s="238"/>
      <c r="D528" s="238"/>
      <c r="E528" s="238"/>
      <c r="F528" s="238"/>
      <c r="G528" s="238"/>
      <c r="H528" s="238"/>
      <c r="I528" s="7"/>
      <c r="J528" s="32"/>
      <c r="K528" s="28"/>
      <c r="L528" s="29"/>
      <c r="Q528" s="235"/>
      <c r="R528" s="235"/>
      <c r="S528" s="235"/>
      <c r="T528" s="235"/>
      <c r="U528" s="235"/>
      <c r="V528" s="235"/>
      <c r="W528" s="235"/>
      <c r="X528" s="235"/>
      <c r="Z528" s="30"/>
    </row>
    <row r="529" spans="1:26" ht="13.9" customHeight="1" x14ac:dyDescent="0.2">
      <c r="A529" s="12" t="str">
        <f>IF(A516&lt;&gt;"G","",15)</f>
        <v/>
      </c>
      <c r="C529" s="238"/>
      <c r="D529" s="238"/>
      <c r="E529" s="238"/>
      <c r="F529" s="238"/>
      <c r="G529" s="238"/>
      <c r="H529" s="238"/>
      <c r="I529" s="7"/>
      <c r="J529" s="32"/>
      <c r="K529" s="28"/>
      <c r="L529" s="29"/>
      <c r="Q529" s="235" t="str">
        <f>IF(M516&lt;&gt;"Ναι","","Αυτό σημαίνει ότι η ποσότητα του ΗΙ έγινε ίση με 0,5·6=3mol, άρα προστέθηκαν στο δοχείο 3–1,8=1,2mol HI.")</f>
        <v/>
      </c>
      <c r="R529" s="235"/>
      <c r="S529" s="235"/>
      <c r="T529" s="235"/>
      <c r="U529" s="235"/>
      <c r="V529" s="235"/>
      <c r="W529" s="235"/>
      <c r="X529" s="235"/>
      <c r="Z529" s="30"/>
    </row>
    <row r="530" spans="1:26" ht="13.9" customHeight="1" x14ac:dyDescent="0.2">
      <c r="A530" s="12" t="str">
        <f>IF(A517&lt;&gt;"G","",8)</f>
        <v/>
      </c>
      <c r="I530" s="7"/>
      <c r="J530" s="32"/>
      <c r="K530" s="28"/>
      <c r="L530" s="29"/>
      <c r="Q530" s="235"/>
      <c r="R530" s="235"/>
      <c r="S530" s="235"/>
      <c r="T530" s="235"/>
      <c r="U530" s="235"/>
      <c r="V530" s="235"/>
      <c r="W530" s="235"/>
      <c r="X530" s="235"/>
      <c r="Z530" s="30"/>
    </row>
    <row r="531" spans="1:26" ht="13.9" customHeight="1" x14ac:dyDescent="0.2">
      <c r="A531" s="12" t="str">
        <f>IF(A518&lt;&gt;"G","",2)</f>
        <v/>
      </c>
      <c r="B531" s="106"/>
      <c r="C531" s="107"/>
      <c r="D531" s="107"/>
      <c r="E531" s="107"/>
      <c r="F531" s="107"/>
      <c r="G531" s="107"/>
      <c r="H531" s="107"/>
      <c r="I531" s="107"/>
      <c r="J531" s="32"/>
      <c r="K531" s="28"/>
      <c r="L531" s="29"/>
      <c r="Q531" s="235" t="str">
        <f>IF(M516&lt;&gt;"Ναι","","Σύμφωνα με την αρχή Le Chatelier, η ισορροπία μετατοπίστηκε προς την κατεύθυνση κατανάλωσης του ΗΙ, δηλ. προς τα αριστερά και όπως φαίνεται από την καμπύλη 1, η συγκέντρωση του ΗΙ έγινε τελικά ίση με 0,4Μ.")</f>
        <v/>
      </c>
      <c r="R531" s="235"/>
      <c r="S531" s="235"/>
      <c r="T531" s="235"/>
      <c r="U531" s="235"/>
      <c r="V531" s="235"/>
      <c r="W531" s="235"/>
      <c r="X531" s="235"/>
      <c r="Z531" s="30"/>
    </row>
    <row r="532" spans="1:26" ht="13.9" customHeight="1" x14ac:dyDescent="0.2">
      <c r="A532" s="12" t="str">
        <f>IF(A519&lt;&gt;"G","",2)</f>
        <v/>
      </c>
      <c r="B532" s="457">
        <v>0.5</v>
      </c>
      <c r="C532" s="7"/>
      <c r="D532" s="7"/>
      <c r="E532" s="7"/>
      <c r="F532" s="7"/>
      <c r="G532" s="7"/>
      <c r="H532" s="7"/>
      <c r="I532" s="7"/>
      <c r="J532" s="32"/>
      <c r="K532" s="28"/>
      <c r="L532" s="29"/>
      <c r="Q532" s="235"/>
      <c r="R532" s="235"/>
      <c r="S532" s="235"/>
      <c r="T532" s="235"/>
      <c r="U532" s="235"/>
      <c r="V532" s="235"/>
      <c r="W532" s="235"/>
      <c r="X532" s="235"/>
      <c r="Z532" s="30"/>
    </row>
    <row r="533" spans="1:26" ht="13.9" customHeight="1" x14ac:dyDescent="0.2">
      <c r="A533" s="12" t="str">
        <f>IF(A520&lt;&gt;"G","",15)</f>
        <v/>
      </c>
      <c r="B533" s="457"/>
      <c r="C533" s="7"/>
      <c r="D533" s="7"/>
      <c r="E533" s="7"/>
      <c r="F533" s="7"/>
      <c r="G533" s="7"/>
      <c r="H533" s="7"/>
      <c r="I533" s="7"/>
      <c r="J533" s="32"/>
      <c r="K533" s="28"/>
      <c r="L533" s="29"/>
      <c r="Q533" s="235"/>
      <c r="R533" s="235"/>
      <c r="S533" s="235"/>
      <c r="T533" s="235"/>
      <c r="U533" s="235"/>
      <c r="V533" s="235"/>
      <c r="W533" s="235"/>
      <c r="X533" s="235"/>
      <c r="Z533" s="30"/>
    </row>
    <row r="534" spans="1:26" ht="13.9" customHeight="1" x14ac:dyDescent="0.2">
      <c r="A534" s="12" t="str">
        <f>IF(A522&lt;&gt;"G","",10)</f>
        <v/>
      </c>
      <c r="B534" s="457">
        <v>0.4</v>
      </c>
      <c r="C534" s="7"/>
      <c r="D534" s="7"/>
      <c r="E534" s="7"/>
      <c r="F534" s="7"/>
      <c r="G534" s="7"/>
      <c r="H534" s="458"/>
      <c r="I534" s="458"/>
      <c r="J534" s="32"/>
      <c r="K534" s="28"/>
      <c r="L534" s="29"/>
      <c r="Q534" s="235" t="str">
        <f>IF(M516&lt;&gt;"Ναι","","Αυτό σημαίνει ότι η ποσότητα του ΗΙ έγινε τελικά ίση με 0,4·6=2,4mol, δηλ. αντέδρασαν μέχρι την τελική αποκατάσταση ΧΙ 3–2,4=0,6mol HI, οπότε παράχθηκαν αντίστοιχα 0,3mol H2 και 0,3mol I2.")</f>
        <v/>
      </c>
      <c r="R534" s="235"/>
      <c r="S534" s="235"/>
      <c r="T534" s="235"/>
      <c r="U534" s="235"/>
      <c r="V534" s="235"/>
      <c r="W534" s="235"/>
      <c r="X534" s="235"/>
      <c r="Z534" s="30"/>
    </row>
    <row r="535" spans="1:26" ht="13.9" customHeight="1" x14ac:dyDescent="0.2">
      <c r="A535" s="12" t="str">
        <f>IF(A523&lt;&gt;"G","",2)</f>
        <v/>
      </c>
      <c r="B535" s="457"/>
      <c r="C535" s="7"/>
      <c r="D535" s="7"/>
      <c r="E535" s="7"/>
      <c r="F535" s="7"/>
      <c r="G535" s="7"/>
      <c r="H535" s="7"/>
      <c r="I535" s="7"/>
      <c r="J535" s="32"/>
      <c r="K535" s="28"/>
      <c r="L535" s="29"/>
      <c r="Q535" s="235"/>
      <c r="R535" s="235"/>
      <c r="S535" s="235"/>
      <c r="T535" s="235"/>
      <c r="U535" s="235"/>
      <c r="V535" s="235"/>
      <c r="W535" s="235"/>
      <c r="X535" s="235"/>
      <c r="Z535" s="30"/>
    </row>
    <row r="536" spans="1:26" ht="13.9" customHeight="1" x14ac:dyDescent="0.2">
      <c r="A536" s="12" t="str">
        <f>IF(A549&lt;&gt;"G","",2)</f>
        <v/>
      </c>
      <c r="B536" s="457">
        <v>0.3</v>
      </c>
      <c r="C536" s="7"/>
      <c r="D536" s="7"/>
      <c r="E536" s="7"/>
      <c r="F536" s="7"/>
      <c r="G536" s="7"/>
      <c r="H536" s="7"/>
      <c r="I536" s="7"/>
      <c r="J536" s="32"/>
      <c r="K536" s="28"/>
      <c r="L536" s="29"/>
      <c r="Q536" s="235"/>
      <c r="R536" s="235"/>
      <c r="S536" s="235"/>
      <c r="T536" s="235"/>
      <c r="U536" s="235"/>
      <c r="V536" s="235"/>
      <c r="W536" s="235"/>
      <c r="X536" s="235"/>
      <c r="Z536" s="30"/>
    </row>
    <row r="537" spans="1:26" ht="13.9" customHeight="1" x14ac:dyDescent="0.2">
      <c r="A537" s="12" t="str">
        <f>IF(A552&lt;&gt;"G","",8)</f>
        <v/>
      </c>
      <c r="B537" s="457"/>
      <c r="C537" s="7"/>
      <c r="D537" s="7"/>
      <c r="E537" s="7"/>
      <c r="F537" s="7"/>
      <c r="G537" s="7"/>
      <c r="H537" s="7"/>
      <c r="I537" s="7"/>
      <c r="J537" s="32"/>
      <c r="K537" s="28"/>
      <c r="L537" s="29"/>
      <c r="Q537" s="235" t="str">
        <f>IF(M516&lt;&gt;"Ναι","","Κατόπιν όλων αυτών ο πίνακας που δόθηκε θα συμπληρωθεί ως εξής:")</f>
        <v/>
      </c>
      <c r="R537" s="235"/>
      <c r="S537" s="235"/>
      <c r="T537" s="235"/>
      <c r="U537" s="235"/>
      <c r="V537" s="235"/>
      <c r="W537" s="235"/>
      <c r="X537" s="235"/>
      <c r="Z537" s="30"/>
    </row>
    <row r="538" spans="1:26" ht="13.9" customHeight="1" x14ac:dyDescent="0.2">
      <c r="A538" s="12" t="str">
        <f>IF(A554&lt;&gt;"G","",6)</f>
        <v/>
      </c>
      <c r="B538" s="108" t="s">
        <v>406</v>
      </c>
      <c r="C538" s="7"/>
      <c r="D538" s="7"/>
      <c r="E538" s="7"/>
      <c r="F538" s="7"/>
      <c r="G538" s="7"/>
      <c r="H538" s="207"/>
      <c r="I538" s="207"/>
      <c r="J538" s="32"/>
      <c r="K538" s="28"/>
      <c r="L538" s="29"/>
      <c r="Z538" s="30"/>
    </row>
    <row r="539" spans="1:26" ht="13.9" customHeight="1" x14ac:dyDescent="0.2">
      <c r="B539" s="457">
        <v>0.15</v>
      </c>
      <c r="C539" s="7"/>
      <c r="D539" s="7"/>
      <c r="E539" s="7"/>
      <c r="F539" s="7"/>
      <c r="G539" s="7"/>
      <c r="H539" s="7"/>
      <c r="I539" s="7"/>
      <c r="J539" s="32"/>
      <c r="K539" s="28"/>
      <c r="L539" s="29"/>
      <c r="R539" s="3"/>
      <c r="S539" s="21" t="str">
        <f>IF($M$516&lt;&gt;"Ναι","","H2(g)")</f>
        <v/>
      </c>
      <c r="T539" s="17" t="str">
        <f>IF($M$516&lt;&gt;"Ναι","","+")</f>
        <v/>
      </c>
      <c r="U539" s="21" t="str">
        <f>IF($M$516&lt;&gt;"Ναι","","I2(g)")</f>
        <v/>
      </c>
      <c r="V539" s="16" t="str">
        <f>IF(M$516&lt;&gt;"Ναι","","D")</f>
        <v/>
      </c>
      <c r="W539" s="21" t="str">
        <f>IF($M$516&lt;&gt;"Ναι","","2HI(g)")</f>
        <v/>
      </c>
      <c r="X539" s="3"/>
      <c r="Z539" s="30"/>
    </row>
    <row r="540" spans="1:26" ht="13.9" customHeight="1" x14ac:dyDescent="0.2">
      <c r="B540" s="457"/>
      <c r="C540" s="7"/>
      <c r="D540" s="7"/>
      <c r="E540" s="7"/>
      <c r="F540" s="7"/>
      <c r="G540" s="7"/>
      <c r="H540" s="7"/>
      <c r="I540" s="7"/>
      <c r="J540" s="32"/>
      <c r="K540" s="28"/>
      <c r="L540" s="29"/>
      <c r="R540" s="159" t="str">
        <f>IF(M$516&lt;&gt;"Ναι","","αρχικά")</f>
        <v/>
      </c>
      <c r="S540" s="14" t="str">
        <f>IF($M$516&lt;&gt;"Ναι","","1,8mol")</f>
        <v/>
      </c>
      <c r="T540" s="288" t="str">
        <f>IF(M516&lt;&gt;"Ναι","","+")</f>
        <v/>
      </c>
      <c r="U540" s="14" t="str">
        <f>IF($M$516&lt;&gt;"Ναι","","1,8mol")</f>
        <v/>
      </c>
      <c r="V540" s="289" t="str">
        <f>IF(M516&lt;&gt;"Ναι","","D")</f>
        <v/>
      </c>
      <c r="W540" s="8"/>
      <c r="Z540" s="30"/>
    </row>
    <row r="541" spans="1:26" ht="13.9" customHeight="1" x14ac:dyDescent="0.2">
      <c r="B541" s="109"/>
      <c r="C541" s="7"/>
      <c r="D541" s="7"/>
      <c r="E541" s="7"/>
      <c r="F541" s="7"/>
      <c r="G541" s="7"/>
      <c r="H541" s="7"/>
      <c r="I541" s="7"/>
      <c r="J541" s="32"/>
      <c r="K541" s="28"/>
      <c r="L541" s="29"/>
      <c r="R541" s="159" t="str">
        <f>IF(M$516&lt;&gt;"Ναι","","αντέδρασαν")</f>
        <v/>
      </c>
      <c r="S541" s="14" t="str">
        <f>IF($M$516&lt;&gt;"Ναι","","0,9mol")</f>
        <v/>
      </c>
      <c r="T541" s="288"/>
      <c r="U541" s="14" t="str">
        <f>IF($M$516&lt;&gt;"Ναι","","0,9mol")</f>
        <v/>
      </c>
      <c r="V541" s="289"/>
      <c r="W541" s="8"/>
      <c r="Z541" s="30"/>
    </row>
    <row r="542" spans="1:26" ht="13.9" customHeight="1" x14ac:dyDescent="0.2">
      <c r="B542" s="109"/>
      <c r="C542" s="7"/>
      <c r="D542" s="7"/>
      <c r="E542" s="7"/>
      <c r="F542" s="7"/>
      <c r="G542" s="7"/>
      <c r="H542" s="7"/>
      <c r="I542" s="7"/>
      <c r="J542" s="32"/>
      <c r="K542" s="28"/>
      <c r="L542" s="29"/>
      <c r="R542" s="159" t="str">
        <f>IF(M$516&lt;&gt;"Ναι","","παρ/θηκαν")</f>
        <v/>
      </c>
      <c r="S542" s="8"/>
      <c r="T542" s="288"/>
      <c r="U542" s="8"/>
      <c r="V542" s="289"/>
      <c r="W542" s="14" t="str">
        <f>IF($M$516&lt;&gt;"Ναι","","1,8mol")</f>
        <v/>
      </c>
      <c r="Z542" s="30"/>
    </row>
    <row r="543" spans="1:26" ht="13.9" customHeight="1" x14ac:dyDescent="0.3">
      <c r="B543" s="109"/>
      <c r="C543" s="7"/>
      <c r="D543" s="7"/>
      <c r="E543" s="11" t="s">
        <v>88</v>
      </c>
      <c r="F543" s="11" t="s">
        <v>89</v>
      </c>
      <c r="G543" s="11" t="s">
        <v>90</v>
      </c>
      <c r="H543" s="7"/>
      <c r="I543" s="7"/>
      <c r="J543" s="32"/>
      <c r="K543" s="28"/>
      <c r="L543" s="29"/>
      <c r="R543" s="156" t="str">
        <f>IF(M516&lt;&gt;"Ναι","","ΚΧΙ")</f>
        <v/>
      </c>
      <c r="S543" s="158" t="str">
        <f>IF($M$516&lt;&gt;"Ναι","","0,9mol")</f>
        <v/>
      </c>
      <c r="T543" s="288"/>
      <c r="U543" s="158" t="str">
        <f>IF($M$516&lt;&gt;"Ναι","","0,9mol")</f>
        <v/>
      </c>
      <c r="V543" s="289"/>
      <c r="W543" s="158" t="str">
        <f>IF($M$516&lt;&gt;"Ναι","","1,8mol")</f>
        <v/>
      </c>
      <c r="Z543" s="30"/>
    </row>
    <row r="544" spans="1:26" ht="13.9" customHeight="1" x14ac:dyDescent="0.2">
      <c r="B544" s="110"/>
      <c r="C544" s="111"/>
      <c r="D544" s="111"/>
      <c r="E544" s="456" t="s">
        <v>407</v>
      </c>
      <c r="F544" s="456"/>
      <c r="G544" s="111"/>
      <c r="H544" s="111"/>
      <c r="I544" s="111"/>
      <c r="J544" s="32"/>
      <c r="K544" s="28"/>
      <c r="L544" s="29"/>
      <c r="R544" s="160" t="str">
        <f>IF(M$516&lt;&gt;"Ναι","","προστέθηκαν")</f>
        <v/>
      </c>
      <c r="S544" s="8"/>
      <c r="T544" s="288"/>
      <c r="U544" s="8"/>
      <c r="V544" s="289"/>
      <c r="W544" s="144" t="str">
        <f>IF($M$516&lt;&gt;"Ναι","","1,2mol")</f>
        <v/>
      </c>
      <c r="Z544" s="30"/>
    </row>
    <row r="545" spans="1:26" ht="13.9" customHeight="1" x14ac:dyDescent="0.2">
      <c r="I545" s="7"/>
      <c r="J545" s="32"/>
      <c r="K545" s="28"/>
      <c r="L545" s="29"/>
      <c r="R545" s="299" t="str">
        <f>IF(M516&lt;&gt;"Ναι","","αντέδρασαν")</f>
        <v/>
      </c>
      <c r="S545" s="8"/>
      <c r="T545" s="288"/>
      <c r="U545" s="8"/>
      <c r="V545" s="289"/>
      <c r="W545" s="300" t="str">
        <f>IF($M$516&lt;&gt;"Ναι","","0,6mol")</f>
        <v/>
      </c>
      <c r="Z545" s="30"/>
    </row>
    <row r="546" spans="1:26" ht="13.9" customHeight="1" x14ac:dyDescent="0.2">
      <c r="A546" s="313" t="s">
        <v>455</v>
      </c>
      <c r="B546" s="454" t="s">
        <v>279</v>
      </c>
      <c r="C546" s="455"/>
      <c r="D546" s="455"/>
      <c r="E546" s="455"/>
      <c r="F546" s="455"/>
      <c r="G546" s="455"/>
      <c r="H546" s="455"/>
      <c r="I546" s="455"/>
      <c r="J546" s="32"/>
      <c r="K546" s="28"/>
      <c r="L546" s="29"/>
      <c r="R546" s="299"/>
      <c r="S546" s="8"/>
      <c r="T546" s="288"/>
      <c r="U546" s="8"/>
      <c r="V546" s="289"/>
      <c r="W546" s="300"/>
      <c r="Z546" s="30"/>
    </row>
    <row r="547" spans="1:26" ht="13.9" customHeight="1" x14ac:dyDescent="0.2">
      <c r="A547" s="313"/>
      <c r="B547" s="455"/>
      <c r="C547" s="455"/>
      <c r="D547" s="455"/>
      <c r="E547" s="455"/>
      <c r="F547" s="455"/>
      <c r="G547" s="455"/>
      <c r="H547" s="455"/>
      <c r="I547" s="455"/>
      <c r="J547" s="32"/>
      <c r="K547" s="28"/>
      <c r="L547" s="29"/>
      <c r="R547" s="159" t="str">
        <f>IF(M$516&lt;&gt;"Ναι","","παρ/θηκαν")</f>
        <v/>
      </c>
      <c r="S547" s="14" t="str">
        <f>IF($M$516&lt;&gt;"Ναι","","0,3mol")</f>
        <v/>
      </c>
      <c r="T547" s="288"/>
      <c r="U547" s="14" t="str">
        <f>IF($M$516&lt;&gt;"Ναι","","0,3mol")</f>
        <v/>
      </c>
      <c r="V547" s="289"/>
      <c r="Z547" s="30"/>
    </row>
    <row r="548" spans="1:26" ht="13.9" customHeight="1" thickBot="1" x14ac:dyDescent="0.25">
      <c r="I548" s="7"/>
      <c r="J548" s="32"/>
      <c r="K548" s="28"/>
      <c r="L548" s="29"/>
      <c r="R548" s="156" t="str">
        <f>IF(M$516&lt;&gt;"Ναι","","τελ. ΚΧΙ")</f>
        <v/>
      </c>
      <c r="S548" s="158" t="str">
        <f>IF($M$516&lt;&gt;"Ναι","","1,2mol")</f>
        <v/>
      </c>
      <c r="T548" s="288"/>
      <c r="U548" s="158" t="str">
        <f>IF($M$516&lt;&gt;"Ναι","","1,2mol")</f>
        <v/>
      </c>
      <c r="V548" s="289"/>
      <c r="W548" s="158" t="str">
        <f>IF($M$516&lt;&gt;"Ναι","","2,4mol")</f>
        <v/>
      </c>
      <c r="Z548" s="30"/>
    </row>
    <row r="549" spans="1:26" ht="13.9" customHeight="1" thickTop="1" thickBot="1" x14ac:dyDescent="0.25">
      <c r="A549" s="12" t="str">
        <f>IF(OR(I549="",I550=""),"",IF(AND(I549="Σ",I550="Λ"),"G","R"))</f>
        <v/>
      </c>
      <c r="C549" s="212" t="s">
        <v>280</v>
      </c>
      <c r="D549" s="212"/>
      <c r="E549" s="212"/>
      <c r="F549" s="212"/>
      <c r="G549" s="212"/>
      <c r="H549" s="112" t="s">
        <v>408</v>
      </c>
      <c r="I549" s="177"/>
      <c r="J549" s="32"/>
      <c r="K549" s="28"/>
      <c r="L549" s="29"/>
      <c r="Z549" s="30"/>
    </row>
    <row r="550" spans="1:26" ht="13.9" customHeight="1" thickTop="1" thickBot="1" x14ac:dyDescent="0.25">
      <c r="C550" s="212"/>
      <c r="D550" s="212"/>
      <c r="E550" s="212"/>
      <c r="F550" s="212"/>
      <c r="G550" s="212"/>
      <c r="H550" s="112" t="s">
        <v>334</v>
      </c>
      <c r="I550" s="177"/>
      <c r="J550" s="32"/>
      <c r="K550" s="28"/>
      <c r="L550" s="29"/>
      <c r="Q550" s="297" t="str">
        <f>IF(M516&lt;&gt;"Ναι","","Η ζητούμενη τιμή της τελικής συγκέντρωσης του Η2 θα ισούται με C=n/V=1,2/6=0,2M.")</f>
        <v/>
      </c>
      <c r="R550" s="297"/>
      <c r="S550" s="297"/>
      <c r="T550" s="297"/>
      <c r="U550" s="297"/>
      <c r="V550" s="297"/>
      <c r="W550" s="297"/>
      <c r="X550" s="297"/>
      <c r="Z550" s="30"/>
    </row>
    <row r="551" spans="1:26" ht="13.9" customHeight="1" thickTop="1" thickBot="1" x14ac:dyDescent="0.25">
      <c r="I551" s="7"/>
      <c r="J551" s="32"/>
      <c r="K551" s="28"/>
      <c r="L551" s="29"/>
      <c r="Q551" s="298" t="str">
        <f>IF(M516&lt;&gt;"Ναι","","Για τον υπολογισμό της Kc θα είναι:
Kc=[HI]^2/([H2]·[I2])=(1,8/6)^2/(0,9/6)^2=4.")</f>
        <v/>
      </c>
      <c r="R551" s="298"/>
      <c r="S551" s="298"/>
      <c r="T551" s="298"/>
      <c r="U551" s="298"/>
      <c r="V551" s="298"/>
      <c r="W551" s="298"/>
      <c r="X551" s="298"/>
      <c r="Z551" s="30"/>
    </row>
    <row r="552" spans="1:26" ht="16.149999999999999" customHeight="1" thickTop="1" thickBot="1" x14ac:dyDescent="0.25">
      <c r="A552" s="12" t="str">
        <f>IF(H552="","",IF(OR(H552="0,2M",H552="0,2Μ",H552="0,2mol/L"),"G","R"))</f>
        <v/>
      </c>
      <c r="C552" s="385" t="s">
        <v>281</v>
      </c>
      <c r="D552" s="386"/>
      <c r="E552" s="386"/>
      <c r="F552" s="386"/>
      <c r="G552" s="387"/>
      <c r="H552" s="146"/>
      <c r="I552" s="7"/>
      <c r="J552" s="32"/>
      <c r="K552" s="28"/>
      <c r="L552" s="29"/>
      <c r="Q552" s="298"/>
      <c r="R552" s="298"/>
      <c r="S552" s="298"/>
      <c r="T552" s="298"/>
      <c r="U552" s="298"/>
      <c r="V552" s="298"/>
      <c r="W552" s="298"/>
      <c r="X552" s="298"/>
      <c r="Z552" s="30"/>
    </row>
    <row r="553" spans="1:26" ht="13.9" customHeight="1" thickTop="1" thickBot="1" x14ac:dyDescent="0.25">
      <c r="I553" s="7"/>
      <c r="J553" s="32"/>
      <c r="K553" s="28"/>
      <c r="L553" s="29"/>
      <c r="Z553" s="30"/>
    </row>
    <row r="554" spans="1:26" ht="16.149999999999999" customHeight="1" thickTop="1" thickBot="1" x14ac:dyDescent="0.25">
      <c r="A554" s="12" t="str">
        <f>IF(H554="","",IF(H554=4,"G","R"))</f>
        <v/>
      </c>
      <c r="C554" s="212" t="s">
        <v>282</v>
      </c>
      <c r="D554" s="212"/>
      <c r="E554" s="212"/>
      <c r="F554" s="212"/>
      <c r="G554" s="212"/>
      <c r="H554" s="211"/>
      <c r="I554" s="43"/>
      <c r="J554" s="243" t="str">
        <f>IF(K554="","",IF(K554=70,"ΕΥΓΕΕ!..","ΧΜΜ!.."))</f>
        <v/>
      </c>
      <c r="K554" s="203" t="str">
        <f>IF(OR(A516="",A517="",A518="",A519="",A520="",A522="",A523="",A549="",A552="",A554="",M516="Ναι"),"",SUM(A529:A538))</f>
        <v/>
      </c>
      <c r="L554" s="29"/>
      <c r="O554" s="311">
        <v>70</v>
      </c>
      <c r="Z554" s="30"/>
    </row>
    <row r="555" spans="1:26" ht="16.149999999999999" customHeight="1" thickTop="1" thickBot="1" x14ac:dyDescent="0.25">
      <c r="C555" s="212"/>
      <c r="D555" s="212"/>
      <c r="E555" s="212"/>
      <c r="F555" s="212"/>
      <c r="G555" s="212"/>
      <c r="H555" s="211"/>
      <c r="I555" s="43"/>
      <c r="J555" s="244"/>
      <c r="K555" s="204"/>
      <c r="L555" s="29"/>
      <c r="O555" s="311"/>
      <c r="Z555" s="30"/>
    </row>
    <row r="556" spans="1:26" ht="13.9" customHeight="1" thickTop="1" x14ac:dyDescent="0.2">
      <c r="I556" s="7"/>
      <c r="J556" s="32"/>
      <c r="K556" s="28"/>
      <c r="L556" s="378" t="str">
        <f>IF(AND(K554="",K509="",K483="",K452="",K435="",K396="",K361=""),"",SUM(K361:K554))</f>
        <v/>
      </c>
      <c r="Z556" s="30"/>
    </row>
    <row r="557" spans="1:26" ht="13.9" customHeight="1" x14ac:dyDescent="0.2">
      <c r="A557" s="40"/>
      <c r="B557" s="40"/>
      <c r="C557" s="40"/>
      <c r="D557" s="40"/>
      <c r="E557" s="40"/>
      <c r="F557" s="40"/>
      <c r="G557" s="40"/>
      <c r="H557" s="40"/>
      <c r="I557" s="40"/>
      <c r="J557" s="28"/>
      <c r="K557" s="28"/>
      <c r="L557" s="378"/>
      <c r="Z557" s="30"/>
    </row>
    <row r="558" spans="1:26" ht="13.9" customHeight="1" x14ac:dyDescent="0.2">
      <c r="I558" s="7"/>
      <c r="J558" s="32"/>
      <c r="K558" s="28"/>
      <c r="L558" s="29"/>
      <c r="Z558" s="30"/>
    </row>
    <row r="559" spans="1:26" ht="13.9" customHeight="1" x14ac:dyDescent="0.2">
      <c r="A559" s="33" t="s">
        <v>409</v>
      </c>
      <c r="B559" s="245" t="s">
        <v>283</v>
      </c>
      <c r="C559" s="245"/>
      <c r="D559" s="245"/>
      <c r="E559" s="245"/>
      <c r="F559" s="245"/>
      <c r="G559" s="245"/>
      <c r="H559" s="245"/>
      <c r="I559" s="245"/>
      <c r="J559" s="32"/>
      <c r="K559" s="28"/>
      <c r="L559" s="29"/>
      <c r="Z559" s="30"/>
    </row>
    <row r="560" spans="1:26" ht="13.9" customHeight="1" x14ac:dyDescent="0.2">
      <c r="B560" s="245"/>
      <c r="C560" s="245"/>
      <c r="D560" s="245"/>
      <c r="E560" s="245"/>
      <c r="F560" s="245"/>
      <c r="G560" s="245"/>
      <c r="H560" s="245"/>
      <c r="I560" s="245"/>
      <c r="J560" s="32"/>
      <c r="K560" s="28"/>
      <c r="L560" s="29"/>
      <c r="Z560" s="30"/>
    </row>
    <row r="561" spans="2:26" ht="13.9" customHeight="1" x14ac:dyDescent="0.2">
      <c r="I561" s="7"/>
      <c r="J561" s="32"/>
      <c r="K561" s="28"/>
      <c r="L561" s="29"/>
      <c r="Z561" s="30"/>
    </row>
    <row r="562" spans="2:26" ht="18" customHeight="1" x14ac:dyDescent="0.25">
      <c r="B562" s="35" t="s">
        <v>340</v>
      </c>
      <c r="C562" s="46"/>
      <c r="D562" s="79"/>
      <c r="E562" s="47" t="s">
        <v>87</v>
      </c>
      <c r="F562" s="50" t="s">
        <v>368</v>
      </c>
      <c r="G562" s="51" t="s">
        <v>278</v>
      </c>
      <c r="H562" s="84"/>
      <c r="I562" s="61"/>
      <c r="J562" s="32"/>
      <c r="K562" s="28"/>
      <c r="L562" s="29"/>
      <c r="Z562" s="30"/>
    </row>
    <row r="563" spans="2:26" ht="13.9" customHeight="1" thickBot="1" x14ac:dyDescent="0.25">
      <c r="I563" s="7"/>
      <c r="J563" s="32"/>
      <c r="K563" s="28"/>
      <c r="L563" s="29"/>
      <c r="Z563" s="30"/>
    </row>
    <row r="564" spans="2:26" ht="16.149999999999999" customHeight="1" thickTop="1" thickBot="1" x14ac:dyDescent="0.25">
      <c r="C564" s="85" t="s">
        <v>376</v>
      </c>
      <c r="D564" s="96" t="s">
        <v>395</v>
      </c>
      <c r="E564" s="64" t="s">
        <v>359</v>
      </c>
      <c r="F564" s="213" t="s">
        <v>368</v>
      </c>
      <c r="G564" s="80" t="s">
        <v>410</v>
      </c>
      <c r="H564" s="380" t="s">
        <v>285</v>
      </c>
      <c r="I564" s="381"/>
      <c r="J564" s="32"/>
      <c r="K564" s="28"/>
      <c r="L564" s="29"/>
      <c r="Z564" s="30"/>
    </row>
    <row r="565" spans="2:26" ht="16.149999999999999" customHeight="1" thickTop="1" thickBot="1" x14ac:dyDescent="0.25">
      <c r="C565" s="379" t="s">
        <v>411</v>
      </c>
      <c r="D565" s="114" t="s">
        <v>413</v>
      </c>
      <c r="E565" s="115" t="s">
        <v>412</v>
      </c>
      <c r="F565" s="213"/>
      <c r="G565" s="116"/>
      <c r="H565" s="207"/>
      <c r="I565" s="207"/>
      <c r="J565" s="32"/>
      <c r="K565" s="28"/>
      <c r="L565" s="29"/>
      <c r="Z565" s="30"/>
    </row>
    <row r="566" spans="2:26" ht="16.149999999999999" customHeight="1" thickTop="1" thickBot="1" x14ac:dyDescent="0.25">
      <c r="C566" s="379"/>
      <c r="D566" s="114" t="s">
        <v>414</v>
      </c>
      <c r="E566" s="117"/>
      <c r="F566" s="213"/>
      <c r="G566" s="75"/>
      <c r="H566" s="380" t="s">
        <v>286</v>
      </c>
      <c r="I566" s="381"/>
      <c r="J566" s="32"/>
      <c r="K566" s="28"/>
      <c r="L566" s="29"/>
      <c r="Z566" s="30"/>
    </row>
    <row r="567" spans="2:26" ht="16.149999999999999" customHeight="1" thickTop="1" thickBot="1" x14ac:dyDescent="0.25">
      <c r="C567" s="85" t="s">
        <v>376</v>
      </c>
      <c r="D567" s="96" t="s">
        <v>415</v>
      </c>
      <c r="E567" s="64" t="s">
        <v>410</v>
      </c>
      <c r="F567" s="213"/>
      <c r="G567" s="80" t="s">
        <v>410</v>
      </c>
      <c r="H567" s="380" t="s">
        <v>286</v>
      </c>
      <c r="I567" s="381"/>
      <c r="J567" s="32"/>
      <c r="K567" s="28"/>
      <c r="L567" s="29"/>
      <c r="Z567" s="30"/>
    </row>
    <row r="568" spans="2:26" ht="13.9" customHeight="1" thickTop="1" x14ac:dyDescent="0.2">
      <c r="I568" s="7"/>
      <c r="J568" s="32"/>
      <c r="K568" s="28"/>
      <c r="L568" s="29"/>
      <c r="Z568" s="30"/>
    </row>
    <row r="569" spans="2:26" ht="13.9" customHeight="1" x14ac:dyDescent="0.2">
      <c r="C569" s="226" t="s">
        <v>284</v>
      </c>
      <c r="D569" s="226"/>
      <c r="E569" s="226"/>
      <c r="F569" s="226"/>
      <c r="G569" s="226"/>
      <c r="H569" s="226"/>
      <c r="I569" s="7"/>
      <c r="J569" s="32"/>
      <c r="K569" s="28"/>
      <c r="L569" s="29"/>
      <c r="Z569" s="30"/>
    </row>
    <row r="570" spans="2:26" ht="13.9" customHeight="1" x14ac:dyDescent="0.2">
      <c r="C570" s="226"/>
      <c r="D570" s="226"/>
      <c r="E570" s="226"/>
      <c r="F570" s="226"/>
      <c r="G570" s="226"/>
      <c r="H570" s="226"/>
      <c r="I570" s="7"/>
      <c r="J570" s="32"/>
      <c r="K570" s="28"/>
      <c r="L570" s="29"/>
      <c r="Z570" s="30"/>
    </row>
    <row r="571" spans="2:26" ht="13.9" customHeight="1" x14ac:dyDescent="0.2">
      <c r="C571" s="226"/>
      <c r="D571" s="226"/>
      <c r="E571" s="226"/>
      <c r="F571" s="226"/>
      <c r="G571" s="226"/>
      <c r="H571" s="226"/>
      <c r="I571" s="7"/>
      <c r="J571" s="32"/>
      <c r="K571" s="28"/>
      <c r="L571" s="29"/>
      <c r="Z571" s="30"/>
    </row>
    <row r="572" spans="2:26" ht="13.9" customHeight="1" thickBot="1" x14ac:dyDescent="0.25">
      <c r="I572" s="7"/>
      <c r="J572" s="32"/>
      <c r="K572" s="28"/>
      <c r="L572" s="29"/>
      <c r="Z572" s="30"/>
    </row>
    <row r="573" spans="2:26" ht="16.149999999999999" customHeight="1" thickTop="1" thickBot="1" x14ac:dyDescent="0.25">
      <c r="B573" s="12" t="str">
        <f>IF(H573="","",IF(H573=0.072,"G","R"))</f>
        <v/>
      </c>
      <c r="C573" s="212" t="s">
        <v>288</v>
      </c>
      <c r="D573" s="212"/>
      <c r="E573" s="212"/>
      <c r="F573" s="212"/>
      <c r="G573" s="212"/>
      <c r="H573" s="247"/>
      <c r="I573" s="7"/>
      <c r="J573" s="32"/>
      <c r="K573" s="28"/>
      <c r="L573" s="29"/>
      <c r="Z573" s="30"/>
    </row>
    <row r="574" spans="2:26" ht="16.149999999999999" customHeight="1" thickTop="1" thickBot="1" x14ac:dyDescent="0.25">
      <c r="C574" s="212"/>
      <c r="D574" s="212"/>
      <c r="E574" s="212"/>
      <c r="F574" s="212"/>
      <c r="G574" s="212"/>
      <c r="H574" s="247"/>
      <c r="I574" s="7"/>
      <c r="J574" s="32"/>
      <c r="K574" s="28"/>
      <c r="L574" s="29"/>
      <c r="Z574" s="30"/>
    </row>
    <row r="575" spans="2:26" ht="13.9" customHeight="1" thickTop="1" thickBot="1" x14ac:dyDescent="0.25">
      <c r="I575" s="7"/>
      <c r="J575" s="32"/>
      <c r="K575" s="28"/>
      <c r="L575" s="29"/>
      <c r="Z575" s="30"/>
    </row>
    <row r="576" spans="2:26" ht="15" customHeight="1" thickTop="1" thickBot="1" x14ac:dyDescent="0.25">
      <c r="B576" s="12" t="str">
        <f>IF(H576="","",IF(H576=0.075,"G","R"))</f>
        <v/>
      </c>
      <c r="C576" s="212" t="s">
        <v>516</v>
      </c>
      <c r="D576" s="212"/>
      <c r="E576" s="212"/>
      <c r="F576" s="212"/>
      <c r="G576" s="212"/>
      <c r="H576" s="247"/>
      <c r="I576" s="7"/>
      <c r="J576" s="32"/>
      <c r="K576" s="28"/>
      <c r="L576" s="29"/>
      <c r="Z576" s="30"/>
    </row>
    <row r="577" spans="1:26" ht="15" customHeight="1" thickTop="1" thickBot="1" x14ac:dyDescent="0.25">
      <c r="C577" s="212"/>
      <c r="D577" s="212"/>
      <c r="E577" s="212"/>
      <c r="F577" s="212"/>
      <c r="G577" s="212"/>
      <c r="H577" s="247"/>
      <c r="I577" s="7"/>
      <c r="J577" s="32"/>
      <c r="K577" s="28"/>
      <c r="L577" s="29"/>
      <c r="Z577" s="30"/>
    </row>
    <row r="578" spans="1:26" ht="15" customHeight="1" thickTop="1" thickBot="1" x14ac:dyDescent="0.25">
      <c r="C578" s="212"/>
      <c r="D578" s="212"/>
      <c r="E578" s="212"/>
      <c r="F578" s="212"/>
      <c r="G578" s="212"/>
      <c r="H578" s="247"/>
      <c r="I578" s="7"/>
      <c r="J578" s="32"/>
      <c r="K578" s="28"/>
      <c r="L578" s="29"/>
      <c r="Z578" s="30"/>
    </row>
    <row r="579" spans="1:26" ht="13.9" customHeight="1" thickTop="1" thickBot="1" x14ac:dyDescent="0.25">
      <c r="I579" s="7"/>
      <c r="J579" s="32"/>
      <c r="K579" s="28"/>
      <c r="L579" s="29"/>
      <c r="Z579" s="30"/>
    </row>
    <row r="580" spans="1:26" ht="13.9" customHeight="1" thickTop="1" thickBot="1" x14ac:dyDescent="0.25">
      <c r="B580" s="12" t="str">
        <f>IF(OR(I580="",I581="",I582=""),"",IF(AND(I580="Λ",I581="Σ",I582="Λ"),"G","R"))</f>
        <v/>
      </c>
      <c r="C580" s="212" t="s">
        <v>287</v>
      </c>
      <c r="D580" s="212"/>
      <c r="E580" s="212"/>
      <c r="F580" s="212"/>
      <c r="G580" s="212"/>
      <c r="H580" s="118" t="s">
        <v>335</v>
      </c>
      <c r="I580" s="178"/>
      <c r="J580" s="32"/>
      <c r="K580" s="28"/>
      <c r="L580" s="29"/>
      <c r="Z580" s="30"/>
    </row>
    <row r="581" spans="1:26" ht="13.9" customHeight="1" thickTop="1" thickBot="1" x14ac:dyDescent="0.25">
      <c r="C581" s="212"/>
      <c r="D581" s="212"/>
      <c r="E581" s="212"/>
      <c r="F581" s="212"/>
      <c r="G581" s="212"/>
      <c r="H581" s="118" t="s">
        <v>416</v>
      </c>
      <c r="I581" s="178"/>
      <c r="J581" s="201" t="str">
        <f>IF(K581="","",IF(K581=30,O17,O24))</f>
        <v/>
      </c>
      <c r="K581" s="203" t="str">
        <f>IF(OR(B573="",B576="",B580=""),"",SUM(C584:E584))</f>
        <v/>
      </c>
      <c r="L581" s="29"/>
      <c r="O581" s="311">
        <v>30</v>
      </c>
      <c r="Z581" s="30"/>
    </row>
    <row r="582" spans="1:26" ht="13.9" customHeight="1" thickTop="1" thickBot="1" x14ac:dyDescent="0.25">
      <c r="C582" s="212"/>
      <c r="D582" s="212"/>
      <c r="E582" s="212"/>
      <c r="F582" s="212"/>
      <c r="G582" s="212"/>
      <c r="H582" s="118" t="s">
        <v>336</v>
      </c>
      <c r="I582" s="178"/>
      <c r="J582" s="202"/>
      <c r="K582" s="204"/>
      <c r="L582" s="29"/>
      <c r="O582" s="311"/>
      <c r="Z582" s="30"/>
    </row>
    <row r="583" spans="1:26" ht="13.9" customHeight="1" thickTop="1" x14ac:dyDescent="0.2">
      <c r="I583" s="7"/>
      <c r="J583" s="32"/>
      <c r="K583" s="28"/>
      <c r="L583" s="29"/>
      <c r="Z583" s="30"/>
    </row>
    <row r="584" spans="1:26" ht="13.9" customHeight="1" x14ac:dyDescent="0.2">
      <c r="A584" s="40"/>
      <c r="B584" s="40"/>
      <c r="C584" s="45" t="str">
        <f>IF(B573&lt;&gt;"G","",6)</f>
        <v/>
      </c>
      <c r="D584" s="45" t="str">
        <f>IF(B576&lt;&gt;"G","",9)</f>
        <v/>
      </c>
      <c r="E584" s="45" t="str">
        <f>IF(B580&lt;&gt;"G","",15)</f>
        <v/>
      </c>
      <c r="F584" s="40"/>
      <c r="G584" s="40"/>
      <c r="H584" s="40"/>
      <c r="I584" s="40"/>
      <c r="J584" s="28"/>
      <c r="K584" s="28"/>
      <c r="L584" s="29"/>
      <c r="Z584" s="30"/>
    </row>
    <row r="585" spans="1:26" ht="13.9" customHeight="1" x14ac:dyDescent="0.2">
      <c r="I585" s="7"/>
      <c r="J585" s="32"/>
      <c r="K585" s="28"/>
      <c r="L585" s="29"/>
      <c r="Z585" s="30"/>
    </row>
    <row r="586" spans="1:26" ht="18" customHeight="1" x14ac:dyDescent="0.25">
      <c r="B586" s="35" t="s">
        <v>341</v>
      </c>
      <c r="C586" s="46"/>
      <c r="D586" s="34" t="s">
        <v>309</v>
      </c>
      <c r="E586" s="74" t="s">
        <v>351</v>
      </c>
      <c r="F586" s="49" t="s">
        <v>310</v>
      </c>
      <c r="G586" s="50" t="s">
        <v>368</v>
      </c>
      <c r="H586" s="51" t="s">
        <v>277</v>
      </c>
      <c r="I586" s="84"/>
      <c r="J586" s="32"/>
      <c r="K586" s="28"/>
      <c r="L586" s="29"/>
      <c r="Z586" s="30"/>
    </row>
    <row r="587" spans="1:26" ht="13.9" customHeight="1" thickBot="1" x14ac:dyDescent="0.25">
      <c r="I587" s="7"/>
      <c r="J587" s="32"/>
      <c r="K587" s="28"/>
      <c r="L587" s="29"/>
      <c r="Z587" s="30"/>
    </row>
    <row r="588" spans="1:26" ht="13.5" customHeight="1" thickTop="1" thickBot="1" x14ac:dyDescent="0.25">
      <c r="B588" s="62" t="s">
        <v>376</v>
      </c>
      <c r="C588" s="96" t="s">
        <v>395</v>
      </c>
      <c r="D588" s="64" t="s">
        <v>289</v>
      </c>
      <c r="E588" s="390" t="s">
        <v>351</v>
      </c>
      <c r="F588" s="64" t="s">
        <v>290</v>
      </c>
      <c r="G588" s="248" t="s">
        <v>368</v>
      </c>
      <c r="H588" s="64" t="s">
        <v>291</v>
      </c>
      <c r="I588" s="7"/>
      <c r="J588" s="32"/>
      <c r="K588" s="28"/>
      <c r="L588" s="29"/>
      <c r="Z588" s="30"/>
    </row>
    <row r="589" spans="1:26" ht="20.100000000000001" customHeight="1" thickTop="1" thickBot="1" x14ac:dyDescent="0.25">
      <c r="B589" s="379" t="s">
        <v>411</v>
      </c>
      <c r="C589" s="459" t="s">
        <v>417</v>
      </c>
      <c r="D589" s="249" t="s">
        <v>292</v>
      </c>
      <c r="E589" s="390"/>
      <c r="F589" s="249" t="s">
        <v>293</v>
      </c>
      <c r="G589" s="248"/>
      <c r="H589" s="249" t="s">
        <v>294</v>
      </c>
      <c r="I589" s="7"/>
      <c r="J589" s="32"/>
      <c r="K589" s="28"/>
      <c r="L589" s="29"/>
      <c r="Z589" s="30"/>
    </row>
    <row r="590" spans="1:26" ht="20.100000000000001" customHeight="1" thickTop="1" thickBot="1" x14ac:dyDescent="0.25">
      <c r="B590" s="379"/>
      <c r="C590" s="459"/>
      <c r="D590" s="250"/>
      <c r="E590" s="390"/>
      <c r="F590" s="250"/>
      <c r="G590" s="248"/>
      <c r="H590" s="250"/>
      <c r="I590" s="7"/>
      <c r="J590" s="32"/>
      <c r="K590" s="28"/>
      <c r="L590" s="29"/>
      <c r="Z590" s="30"/>
    </row>
    <row r="591" spans="1:26" ht="13.9" customHeight="1" thickTop="1" thickBot="1" x14ac:dyDescent="0.25">
      <c r="B591" s="62" t="s">
        <v>376</v>
      </c>
      <c r="C591" s="119" t="s">
        <v>415</v>
      </c>
      <c r="D591" s="64" t="s">
        <v>295</v>
      </c>
      <c r="E591" s="390"/>
      <c r="F591" s="64" t="s">
        <v>296</v>
      </c>
      <c r="G591" s="248"/>
      <c r="H591" s="64" t="s">
        <v>297</v>
      </c>
      <c r="I591" s="7"/>
      <c r="J591" s="32"/>
      <c r="K591" s="28"/>
      <c r="L591" s="29"/>
      <c r="Z591" s="30"/>
    </row>
    <row r="592" spans="1:26" ht="13.9" customHeight="1" thickTop="1" thickBot="1" x14ac:dyDescent="0.25">
      <c r="I592" s="7"/>
      <c r="J592" s="32"/>
      <c r="K592" s="28"/>
      <c r="L592" s="29"/>
      <c r="Z592" s="30"/>
    </row>
    <row r="593" spans="1:26" ht="16.149999999999999" customHeight="1" thickTop="1" thickBot="1" x14ac:dyDescent="0.25">
      <c r="B593" s="12" t="str">
        <f>IF(OR(I593="",I594="",I595=""),"",IF(AND(I593="Λ",I594="Σ",I595="Λ"),"G","R"))</f>
        <v/>
      </c>
      <c r="C593" s="212" t="s">
        <v>298</v>
      </c>
      <c r="D593" s="212"/>
      <c r="E593" s="212"/>
      <c r="F593" s="212"/>
      <c r="G593" s="212"/>
      <c r="H593" s="118" t="s">
        <v>91</v>
      </c>
      <c r="I593" s="178"/>
      <c r="J593" s="32"/>
      <c r="K593" s="28"/>
      <c r="L593" s="29"/>
      <c r="Z593" s="30"/>
    </row>
    <row r="594" spans="1:26" ht="16.149999999999999" customHeight="1" thickTop="1" thickBot="1" x14ac:dyDescent="0.25">
      <c r="C594" s="212"/>
      <c r="D594" s="212"/>
      <c r="E594" s="212"/>
      <c r="F594" s="212"/>
      <c r="G594" s="212"/>
      <c r="H594" s="118" t="s">
        <v>92</v>
      </c>
      <c r="I594" s="178"/>
      <c r="J594" s="32"/>
      <c r="K594" s="28"/>
      <c r="L594" s="29"/>
      <c r="Z594" s="30"/>
    </row>
    <row r="595" spans="1:26" ht="16.149999999999999" customHeight="1" thickTop="1" thickBot="1" x14ac:dyDescent="0.25">
      <c r="C595" s="212"/>
      <c r="D595" s="212"/>
      <c r="E595" s="212"/>
      <c r="F595" s="212"/>
      <c r="G595" s="212"/>
      <c r="H595" s="118" t="s">
        <v>93</v>
      </c>
      <c r="I595" s="178"/>
      <c r="J595" s="32"/>
      <c r="K595" s="28"/>
      <c r="L595" s="29"/>
      <c r="Z595" s="30"/>
    </row>
    <row r="596" spans="1:26" ht="13.9" customHeight="1" thickTop="1" thickBot="1" x14ac:dyDescent="0.25">
      <c r="I596" s="7"/>
      <c r="J596" s="32"/>
      <c r="K596" s="28"/>
      <c r="L596" s="29"/>
      <c r="Z596" s="30"/>
    </row>
    <row r="597" spans="1:26" ht="16.149999999999999" customHeight="1" thickTop="1" thickBot="1" x14ac:dyDescent="0.25">
      <c r="B597" s="12" t="str">
        <f>IF(OR(I597="",I598="",I599=""),"",IF(AND(I597="Λ",I598="Σ",I599="Λ"),"G","R"))</f>
        <v/>
      </c>
      <c r="C597" s="212" t="s">
        <v>299</v>
      </c>
      <c r="D597" s="212"/>
      <c r="E597" s="212"/>
      <c r="F597" s="212"/>
      <c r="G597" s="212"/>
      <c r="H597" s="118" t="s">
        <v>94</v>
      </c>
      <c r="I597" s="178"/>
      <c r="J597" s="32"/>
      <c r="K597" s="28"/>
      <c r="L597" s="29"/>
      <c r="Z597" s="30"/>
    </row>
    <row r="598" spans="1:26" ht="16.149999999999999" customHeight="1" thickTop="1" thickBot="1" x14ac:dyDescent="0.25">
      <c r="C598" s="212"/>
      <c r="D598" s="212"/>
      <c r="E598" s="212"/>
      <c r="F598" s="212"/>
      <c r="G598" s="212"/>
      <c r="H598" s="118" t="s">
        <v>95</v>
      </c>
      <c r="I598" s="178"/>
      <c r="J598" s="201" t="str">
        <f>IF(K598="","",IF(K598=15,O17,O24))</f>
        <v/>
      </c>
      <c r="K598" s="203" t="str">
        <f>IF(OR(B593="",B597=""),"",SUM(C601:D601))</f>
        <v/>
      </c>
      <c r="L598" s="29"/>
      <c r="O598" s="311">
        <v>15</v>
      </c>
      <c r="Z598" s="30"/>
    </row>
    <row r="599" spans="1:26" ht="16.149999999999999" customHeight="1" thickTop="1" thickBot="1" x14ac:dyDescent="0.25">
      <c r="C599" s="212"/>
      <c r="D599" s="212"/>
      <c r="E599" s="212"/>
      <c r="F599" s="212"/>
      <c r="G599" s="212"/>
      <c r="H599" s="118" t="s">
        <v>96</v>
      </c>
      <c r="I599" s="178"/>
      <c r="J599" s="202"/>
      <c r="K599" s="204"/>
      <c r="L599" s="29"/>
      <c r="O599" s="311"/>
      <c r="Z599" s="30"/>
    </row>
    <row r="600" spans="1:26" ht="13.9" customHeight="1" thickTop="1" x14ac:dyDescent="0.2">
      <c r="I600" s="7"/>
      <c r="J600" s="32"/>
      <c r="K600" s="28"/>
      <c r="L600" s="29"/>
      <c r="Z600" s="30"/>
    </row>
    <row r="601" spans="1:26" ht="13.9" customHeight="1" x14ac:dyDescent="0.2">
      <c r="A601" s="40"/>
      <c r="B601" s="40"/>
      <c r="C601" s="45" t="str">
        <f>IF(B593&lt;&gt;"G","",6)</f>
        <v/>
      </c>
      <c r="D601" s="45" t="str">
        <f>IF(B597&lt;&gt;"G","",9)</f>
        <v/>
      </c>
      <c r="E601" s="40"/>
      <c r="F601" s="40"/>
      <c r="G601" s="40"/>
      <c r="H601" s="40"/>
      <c r="I601" s="40"/>
      <c r="J601" s="28"/>
      <c r="K601" s="28"/>
      <c r="L601" s="29"/>
      <c r="Z601" s="30"/>
    </row>
    <row r="602" spans="1:26" ht="13.9" customHeight="1" x14ac:dyDescent="0.2">
      <c r="I602" s="7"/>
      <c r="J602" s="32"/>
      <c r="K602" s="28"/>
      <c r="L602" s="29"/>
      <c r="Z602" s="30"/>
    </row>
    <row r="603" spans="1:26" ht="18" customHeight="1" x14ac:dyDescent="0.25">
      <c r="B603" s="35" t="s">
        <v>342</v>
      </c>
      <c r="C603" s="46"/>
      <c r="D603" s="34" t="s">
        <v>229</v>
      </c>
      <c r="E603" s="50" t="s">
        <v>368</v>
      </c>
      <c r="F603" s="49" t="s">
        <v>230</v>
      </c>
      <c r="G603" s="74" t="s">
        <v>351</v>
      </c>
      <c r="H603" s="91" t="s">
        <v>226</v>
      </c>
      <c r="I603" s="52"/>
      <c r="J603" s="32"/>
      <c r="K603" s="28"/>
      <c r="L603" s="29"/>
      <c r="Z603" s="30"/>
    </row>
    <row r="604" spans="1:26" ht="13.9" customHeight="1" thickBot="1" x14ac:dyDescent="0.25">
      <c r="I604" s="7"/>
      <c r="J604" s="32"/>
      <c r="K604" s="28"/>
      <c r="L604" s="29"/>
      <c r="Z604" s="30"/>
    </row>
    <row r="605" spans="1:26" ht="16.149999999999999" customHeight="1" thickTop="1" thickBot="1" x14ac:dyDescent="0.25">
      <c r="B605" s="62" t="s">
        <v>376</v>
      </c>
      <c r="C605" s="96" t="s">
        <v>395</v>
      </c>
      <c r="D605" s="64" t="s">
        <v>289</v>
      </c>
      <c r="E605" s="248" t="s">
        <v>368</v>
      </c>
      <c r="F605" s="64" t="s">
        <v>290</v>
      </c>
      <c r="G605" s="390" t="s">
        <v>351</v>
      </c>
      <c r="H605" s="64" t="s">
        <v>291</v>
      </c>
      <c r="I605" s="7"/>
      <c r="J605" s="32"/>
      <c r="K605" s="28"/>
      <c r="L605" s="29"/>
      <c r="Z605" s="30"/>
    </row>
    <row r="606" spans="1:26" ht="20.100000000000001" customHeight="1" thickTop="1" thickBot="1" x14ac:dyDescent="0.25">
      <c r="B606" s="379" t="s">
        <v>411</v>
      </c>
      <c r="C606" s="459" t="s">
        <v>417</v>
      </c>
      <c r="D606" s="249" t="s">
        <v>292</v>
      </c>
      <c r="E606" s="248"/>
      <c r="F606" s="249" t="s">
        <v>293</v>
      </c>
      <c r="G606" s="248"/>
      <c r="H606" s="249" t="s">
        <v>294</v>
      </c>
      <c r="I606" s="7"/>
      <c r="J606" s="32"/>
      <c r="K606" s="28"/>
      <c r="L606" s="29"/>
      <c r="Z606" s="30"/>
    </row>
    <row r="607" spans="1:26" ht="20.100000000000001" customHeight="1" thickTop="1" thickBot="1" x14ac:dyDescent="0.25">
      <c r="B607" s="379"/>
      <c r="C607" s="459"/>
      <c r="D607" s="250"/>
      <c r="E607" s="248"/>
      <c r="F607" s="250"/>
      <c r="G607" s="248"/>
      <c r="H607" s="250"/>
      <c r="I607" s="7"/>
      <c r="J607" s="32"/>
      <c r="K607" s="28"/>
      <c r="L607" s="29"/>
      <c r="Z607" s="30"/>
    </row>
    <row r="608" spans="1:26" ht="16.149999999999999" customHeight="1" thickTop="1" thickBot="1" x14ac:dyDescent="0.25">
      <c r="B608" s="62" t="s">
        <v>376</v>
      </c>
      <c r="C608" s="66" t="s">
        <v>415</v>
      </c>
      <c r="D608" s="64" t="s">
        <v>295</v>
      </c>
      <c r="E608" s="248"/>
      <c r="F608" s="64" t="s">
        <v>296</v>
      </c>
      <c r="G608" s="248"/>
      <c r="H608" s="64" t="s">
        <v>297</v>
      </c>
      <c r="I608" s="7"/>
      <c r="J608" s="32"/>
      <c r="K608" s="28"/>
      <c r="L608" s="29"/>
      <c r="Z608" s="30"/>
    </row>
    <row r="609" spans="1:26" ht="13.9" customHeight="1" thickTop="1" thickBot="1" x14ac:dyDescent="0.25">
      <c r="I609" s="7"/>
      <c r="J609" s="32"/>
      <c r="K609" s="28"/>
      <c r="L609" s="29"/>
      <c r="Z609" s="30"/>
    </row>
    <row r="610" spans="1:26" ht="16.149999999999999" customHeight="1" thickTop="1" thickBot="1" x14ac:dyDescent="0.25">
      <c r="B610" s="12" t="str">
        <f>IF(OR(I610="",I611="",I612=""),"",IF(AND(I610="Λ",I611="Λ",I612="Σ"),"G","R"))</f>
        <v/>
      </c>
      <c r="C610" s="212" t="s">
        <v>298</v>
      </c>
      <c r="D610" s="212"/>
      <c r="E610" s="212"/>
      <c r="F610" s="212"/>
      <c r="G610" s="212"/>
      <c r="H610" s="118" t="s">
        <v>91</v>
      </c>
      <c r="I610" s="178"/>
      <c r="J610" s="32"/>
      <c r="K610" s="28"/>
      <c r="L610" s="29"/>
      <c r="Z610" s="30"/>
    </row>
    <row r="611" spans="1:26" ht="16.149999999999999" customHeight="1" thickTop="1" thickBot="1" x14ac:dyDescent="0.25">
      <c r="C611" s="212"/>
      <c r="D611" s="212"/>
      <c r="E611" s="212"/>
      <c r="F611" s="212"/>
      <c r="G611" s="212"/>
      <c r="H611" s="118" t="s">
        <v>92</v>
      </c>
      <c r="I611" s="178"/>
      <c r="J611" s="32"/>
      <c r="K611" s="28"/>
      <c r="L611" s="29"/>
      <c r="Z611" s="30"/>
    </row>
    <row r="612" spans="1:26" ht="16.149999999999999" customHeight="1" thickTop="1" thickBot="1" x14ac:dyDescent="0.25">
      <c r="C612" s="212"/>
      <c r="D612" s="212"/>
      <c r="E612" s="212"/>
      <c r="F612" s="212"/>
      <c r="G612" s="212"/>
      <c r="H612" s="118" t="s">
        <v>93</v>
      </c>
      <c r="I612" s="178"/>
      <c r="J612" s="32"/>
      <c r="K612" s="28"/>
      <c r="L612" s="29"/>
      <c r="Z612" s="30"/>
    </row>
    <row r="613" spans="1:26" ht="13.9" customHeight="1" thickTop="1" thickBot="1" x14ac:dyDescent="0.25">
      <c r="I613" s="7"/>
      <c r="J613" s="32"/>
      <c r="K613" s="28"/>
      <c r="L613" s="29"/>
      <c r="Z613" s="30"/>
    </row>
    <row r="614" spans="1:26" ht="16.149999999999999" customHeight="1" thickTop="1" thickBot="1" x14ac:dyDescent="0.25">
      <c r="B614" s="12" t="str">
        <f>IF(OR(I614="",I615="",I616=""),"",IF(AND(I614="Σ",I615="Λ",I616="Λ"),"G","R"))</f>
        <v/>
      </c>
      <c r="C614" s="212" t="s">
        <v>300</v>
      </c>
      <c r="D614" s="212"/>
      <c r="E614" s="212"/>
      <c r="F614" s="212"/>
      <c r="G614" s="212"/>
      <c r="H614" s="118" t="s">
        <v>97</v>
      </c>
      <c r="I614" s="178"/>
      <c r="J614" s="32"/>
      <c r="K614" s="28"/>
      <c r="L614" s="29"/>
      <c r="Z614" s="30"/>
    </row>
    <row r="615" spans="1:26" ht="16.149999999999999" customHeight="1" thickTop="1" thickBot="1" x14ac:dyDescent="0.25">
      <c r="C615" s="212"/>
      <c r="D615" s="212"/>
      <c r="E615" s="212"/>
      <c r="F615" s="212"/>
      <c r="G615" s="212"/>
      <c r="H615" s="118" t="s">
        <v>98</v>
      </c>
      <c r="I615" s="178"/>
      <c r="J615" s="201" t="str">
        <f>IF(K615="","",IF(K615=20,O17,O24))</f>
        <v/>
      </c>
      <c r="K615" s="203" t="str">
        <f>IF(OR(B610="",B614=""),"",SUM(C618:D618))</f>
        <v/>
      </c>
      <c r="L615" s="29"/>
      <c r="O615" s="311">
        <v>20</v>
      </c>
      <c r="Z615" s="30"/>
    </row>
    <row r="616" spans="1:26" ht="16.149999999999999" customHeight="1" thickTop="1" thickBot="1" x14ac:dyDescent="0.25">
      <c r="C616" s="212"/>
      <c r="D616" s="212"/>
      <c r="E616" s="212"/>
      <c r="F616" s="212"/>
      <c r="G616" s="212"/>
      <c r="H616" s="118" t="s">
        <v>99</v>
      </c>
      <c r="I616" s="178"/>
      <c r="J616" s="202"/>
      <c r="K616" s="204"/>
      <c r="L616" s="29"/>
      <c r="O616" s="311"/>
      <c r="Z616" s="30"/>
    </row>
    <row r="617" spans="1:26" ht="13.9" customHeight="1" thickTop="1" x14ac:dyDescent="0.2">
      <c r="I617" s="7"/>
      <c r="J617" s="32"/>
      <c r="K617" s="28"/>
      <c r="L617" s="29"/>
      <c r="Z617" s="30"/>
    </row>
    <row r="618" spans="1:26" ht="13.9" customHeight="1" x14ac:dyDescent="0.2">
      <c r="A618" s="40"/>
      <c r="B618" s="40"/>
      <c r="C618" s="45" t="str">
        <f>IF(B610&lt;&gt;"G","",8)</f>
        <v/>
      </c>
      <c r="D618" s="45" t="str">
        <f>IF(B614&lt;&gt;"G","",12)</f>
        <v/>
      </c>
      <c r="E618" s="40"/>
      <c r="F618" s="40"/>
      <c r="G618" s="40"/>
      <c r="H618" s="40"/>
      <c r="I618" s="40"/>
      <c r="J618" s="28"/>
      <c r="K618" s="28"/>
      <c r="L618" s="29"/>
      <c r="Z618" s="30"/>
    </row>
    <row r="619" spans="1:26" ht="13.9" customHeight="1" x14ac:dyDescent="0.2">
      <c r="I619" s="7"/>
      <c r="J619" s="32"/>
      <c r="K619" s="28"/>
      <c r="L619" s="29"/>
      <c r="Z619" s="30"/>
    </row>
    <row r="620" spans="1:26" ht="18" customHeight="1" x14ac:dyDescent="0.2">
      <c r="B620" s="35" t="s">
        <v>343</v>
      </c>
      <c r="C620" s="59" t="s">
        <v>86</v>
      </c>
      <c r="D620" s="69" t="s">
        <v>351</v>
      </c>
      <c r="E620" s="120" t="s">
        <v>309</v>
      </c>
      <c r="F620" s="50" t="s">
        <v>368</v>
      </c>
      <c r="G620" s="120" t="s">
        <v>230</v>
      </c>
      <c r="H620" s="69" t="s">
        <v>351</v>
      </c>
      <c r="I620" s="120" t="s">
        <v>100</v>
      </c>
      <c r="J620" s="32"/>
      <c r="K620" s="28"/>
      <c r="L620" s="29"/>
      <c r="Z620" s="30"/>
    </row>
    <row r="621" spans="1:26" ht="13.9" customHeight="1" thickBot="1" x14ac:dyDescent="0.25">
      <c r="J621" s="32"/>
      <c r="K621" s="28"/>
      <c r="L621" s="29"/>
      <c r="Z621" s="30"/>
    </row>
    <row r="622" spans="1:26" ht="13.9" customHeight="1" thickTop="1" thickBot="1" x14ac:dyDescent="0.25">
      <c r="A622" s="62" t="s">
        <v>376</v>
      </c>
      <c r="B622" s="66" t="s">
        <v>395</v>
      </c>
      <c r="C622" s="64" t="s">
        <v>397</v>
      </c>
      <c r="D622" s="453" t="s">
        <v>351</v>
      </c>
      <c r="E622" s="64" t="s">
        <v>354</v>
      </c>
      <c r="F622" s="213" t="s">
        <v>368</v>
      </c>
      <c r="G622" s="64" t="s">
        <v>354</v>
      </c>
      <c r="H622" s="453" t="s">
        <v>351</v>
      </c>
      <c r="I622" s="80" t="s">
        <v>404</v>
      </c>
      <c r="J622" s="32"/>
      <c r="K622" s="28"/>
      <c r="L622" s="29"/>
      <c r="Z622" s="30"/>
    </row>
    <row r="623" spans="1:26" ht="13.9" customHeight="1" thickTop="1" thickBot="1" x14ac:dyDescent="0.25">
      <c r="A623" s="113" t="s">
        <v>411</v>
      </c>
      <c r="B623" s="121" t="s">
        <v>398</v>
      </c>
      <c r="C623" s="64" t="s">
        <v>353</v>
      </c>
      <c r="D623" s="213"/>
      <c r="E623" s="122"/>
      <c r="F623" s="213"/>
      <c r="G623" s="64" t="s">
        <v>418</v>
      </c>
      <c r="H623" s="213"/>
      <c r="I623" s="122"/>
      <c r="J623" s="32"/>
      <c r="K623" s="28"/>
      <c r="L623" s="29"/>
      <c r="Z623" s="30"/>
    </row>
    <row r="624" spans="1:26" ht="13.9" customHeight="1" thickTop="1" thickBot="1" x14ac:dyDescent="0.25">
      <c r="A624" s="62" t="s">
        <v>376</v>
      </c>
      <c r="B624" s="66" t="s">
        <v>415</v>
      </c>
      <c r="C624" s="64" t="s">
        <v>361</v>
      </c>
      <c r="D624" s="213"/>
      <c r="E624" s="64" t="s">
        <v>354</v>
      </c>
      <c r="F624" s="213"/>
      <c r="G624" s="123" t="s">
        <v>419</v>
      </c>
      <c r="H624" s="213"/>
      <c r="I624" s="80" t="s">
        <v>404</v>
      </c>
      <c r="J624" s="32"/>
      <c r="K624" s="28"/>
      <c r="L624" s="29"/>
      <c r="Z624" s="30"/>
    </row>
    <row r="625" spans="1:26" ht="13.9" customHeight="1" thickTop="1" thickBot="1" x14ac:dyDescent="0.25">
      <c r="I625" s="7"/>
      <c r="J625" s="32"/>
      <c r="K625" s="28"/>
      <c r="L625" s="29"/>
      <c r="Z625" s="30"/>
    </row>
    <row r="626" spans="1:26" ht="13.9" customHeight="1" thickTop="1" thickBot="1" x14ac:dyDescent="0.25">
      <c r="C626" s="212" t="s">
        <v>301</v>
      </c>
      <c r="D626" s="212"/>
      <c r="E626" s="212"/>
      <c r="F626" s="212"/>
      <c r="G626" s="212"/>
      <c r="H626" s="118" t="s">
        <v>479</v>
      </c>
      <c r="I626" s="176"/>
      <c r="J626" s="32"/>
      <c r="K626" s="28"/>
      <c r="L626" s="29"/>
      <c r="Z626" s="30"/>
    </row>
    <row r="627" spans="1:26" ht="13.9" customHeight="1" thickTop="1" thickBot="1" x14ac:dyDescent="0.25">
      <c r="C627" s="212"/>
      <c r="D627" s="212"/>
      <c r="E627" s="212"/>
      <c r="F627" s="212"/>
      <c r="G627" s="212"/>
      <c r="H627" s="118" t="s">
        <v>484</v>
      </c>
      <c r="I627" s="176"/>
      <c r="J627" s="201" t="str">
        <f>IF(K627="","",IF(K627=20,O17,O24))</f>
        <v/>
      </c>
      <c r="K627" s="203" t="str">
        <f>IF(OR(A942&lt;&gt;"Τουκμενίδης Μηνάς - 3ο ΓΕΛ Αμπελοκήπων, Θεσσαλονίκης",I626="",I627="",I628=""),"",IF(AND(I626="Λ",I627="Λ",I628="Σ"),20,0))</f>
        <v/>
      </c>
      <c r="L627" s="29"/>
      <c r="O627" s="311">
        <v>20</v>
      </c>
      <c r="Z627" s="30"/>
    </row>
    <row r="628" spans="1:26" ht="13.9" customHeight="1" thickTop="1" thickBot="1" x14ac:dyDescent="0.25">
      <c r="C628" s="212"/>
      <c r="D628" s="212"/>
      <c r="E628" s="212"/>
      <c r="F628" s="212"/>
      <c r="G628" s="212"/>
      <c r="H628" s="118" t="s">
        <v>420</v>
      </c>
      <c r="I628" s="176"/>
      <c r="J628" s="202"/>
      <c r="K628" s="204"/>
      <c r="L628" s="29"/>
      <c r="O628" s="311"/>
      <c r="Z628" s="30"/>
    </row>
    <row r="629" spans="1:26" ht="13.9" customHeight="1" thickTop="1" x14ac:dyDescent="0.2">
      <c r="I629" s="7"/>
      <c r="J629" s="32"/>
      <c r="K629" s="28"/>
      <c r="L629" s="29"/>
      <c r="Z629" s="30"/>
    </row>
    <row r="630" spans="1:26" ht="13.9" customHeight="1" x14ac:dyDescent="0.2">
      <c r="A630" s="40"/>
      <c r="B630" s="40"/>
      <c r="C630" s="40"/>
      <c r="D630" s="40"/>
      <c r="E630" s="40"/>
      <c r="F630" s="40"/>
      <c r="G630" s="40"/>
      <c r="H630" s="40"/>
      <c r="I630" s="40"/>
      <c r="J630" s="28"/>
      <c r="K630" s="28"/>
      <c r="L630" s="29"/>
      <c r="Z630" s="30"/>
    </row>
    <row r="631" spans="1:26" ht="13.9" customHeight="1" x14ac:dyDescent="0.2">
      <c r="I631" s="7"/>
      <c r="J631" s="32"/>
      <c r="K631" s="28"/>
      <c r="L631" s="29"/>
      <c r="Z631" s="30"/>
    </row>
    <row r="632" spans="1:26" ht="18" customHeight="1" x14ac:dyDescent="0.2">
      <c r="B632" s="35" t="s">
        <v>364</v>
      </c>
      <c r="C632" s="59" t="s">
        <v>86</v>
      </c>
      <c r="D632" s="69" t="s">
        <v>351</v>
      </c>
      <c r="E632" s="120" t="s">
        <v>309</v>
      </c>
      <c r="F632" s="50" t="s">
        <v>368</v>
      </c>
      <c r="G632" s="120" t="s">
        <v>230</v>
      </c>
      <c r="H632" s="69" t="s">
        <v>351</v>
      </c>
      <c r="I632" s="120" t="s">
        <v>100</v>
      </c>
      <c r="J632" s="32"/>
      <c r="K632" s="28"/>
      <c r="L632" s="29"/>
      <c r="Z632" s="30"/>
    </row>
    <row r="633" spans="1:26" ht="13.9" customHeight="1" thickBot="1" x14ac:dyDescent="0.25">
      <c r="I633" s="7"/>
      <c r="J633" s="32"/>
      <c r="K633" s="28"/>
      <c r="L633" s="29"/>
      <c r="Z633" s="30"/>
    </row>
    <row r="634" spans="1:26" ht="13.9" customHeight="1" thickTop="1" thickBot="1" x14ac:dyDescent="0.25">
      <c r="A634" s="62" t="s">
        <v>376</v>
      </c>
      <c r="B634" s="96" t="s">
        <v>395</v>
      </c>
      <c r="C634" s="64" t="s">
        <v>359</v>
      </c>
      <c r="D634" s="224" t="s">
        <v>351</v>
      </c>
      <c r="E634" s="64" t="s">
        <v>423</v>
      </c>
      <c r="F634" s="225" t="s">
        <v>368</v>
      </c>
      <c r="G634" s="64" t="s">
        <v>423</v>
      </c>
      <c r="H634" s="224" t="s">
        <v>351</v>
      </c>
      <c r="I634" s="80" t="s">
        <v>421</v>
      </c>
      <c r="J634" s="32"/>
      <c r="K634" s="28"/>
      <c r="L634" s="29"/>
      <c r="Z634" s="30"/>
    </row>
    <row r="635" spans="1:26" ht="13.9" customHeight="1" thickTop="1" thickBot="1" x14ac:dyDescent="0.25">
      <c r="A635" s="113" t="s">
        <v>411</v>
      </c>
      <c r="B635" s="121" t="s">
        <v>398</v>
      </c>
      <c r="C635" s="64" t="s">
        <v>359</v>
      </c>
      <c r="D635" s="224"/>
      <c r="E635" s="64" t="s">
        <v>424</v>
      </c>
      <c r="F635" s="225"/>
      <c r="G635" s="64" t="s">
        <v>422</v>
      </c>
      <c r="H635" s="224"/>
      <c r="I635" s="80" t="s">
        <v>357</v>
      </c>
      <c r="J635" s="32"/>
      <c r="K635" s="28"/>
      <c r="L635" s="29"/>
      <c r="Z635" s="30"/>
    </row>
    <row r="636" spans="1:26" ht="13.9" customHeight="1" thickTop="1" thickBot="1" x14ac:dyDescent="0.25">
      <c r="A636" s="62" t="s">
        <v>376</v>
      </c>
      <c r="B636" s="66" t="s">
        <v>415</v>
      </c>
      <c r="C636" s="64" t="s">
        <v>449</v>
      </c>
      <c r="D636" s="224"/>
      <c r="E636" s="64" t="s">
        <v>449</v>
      </c>
      <c r="F636" s="225"/>
      <c r="G636" s="64" t="s">
        <v>450</v>
      </c>
      <c r="H636" s="224"/>
      <c r="I636" s="80" t="s">
        <v>450</v>
      </c>
      <c r="J636" s="32"/>
      <c r="K636" s="28"/>
      <c r="L636" s="29"/>
      <c r="Z636" s="30"/>
    </row>
    <row r="637" spans="1:26" ht="13.9" customHeight="1" thickTop="1" thickBot="1" x14ac:dyDescent="0.25">
      <c r="A637" s="99" t="s">
        <v>390</v>
      </c>
      <c r="B637" s="66" t="s">
        <v>372</v>
      </c>
      <c r="C637" s="146"/>
      <c r="D637" s="224"/>
      <c r="E637" s="146"/>
      <c r="F637" s="225"/>
      <c r="G637" s="146"/>
      <c r="H637" s="224"/>
      <c r="I637" s="179"/>
      <c r="J637" s="32"/>
      <c r="K637" s="28"/>
      <c r="L637" s="29"/>
      <c r="Z637" s="30"/>
    </row>
    <row r="638" spans="1:26" ht="13.9" customHeight="1" thickTop="1" thickBot="1" x14ac:dyDescent="0.25">
      <c r="B638" s="66" t="s">
        <v>370</v>
      </c>
      <c r="C638" s="146"/>
      <c r="D638" s="224"/>
      <c r="E638" s="146"/>
      <c r="F638" s="225"/>
      <c r="G638" s="146"/>
      <c r="H638" s="224"/>
      <c r="I638" s="179"/>
      <c r="J638" s="32"/>
      <c r="K638" s="28"/>
      <c r="L638" s="29"/>
      <c r="Z638" s="30"/>
    </row>
    <row r="639" spans="1:26" ht="13.9" customHeight="1" thickTop="1" thickBot="1" x14ac:dyDescent="0.25">
      <c r="A639" s="62" t="s">
        <v>376</v>
      </c>
      <c r="B639" s="96" t="s">
        <v>399</v>
      </c>
      <c r="C639" s="175"/>
      <c r="D639" s="224"/>
      <c r="E639" s="175"/>
      <c r="F639" s="225"/>
      <c r="G639" s="175"/>
      <c r="H639" s="224"/>
      <c r="I639" s="180"/>
      <c r="J639" s="32"/>
      <c r="K639" s="28"/>
      <c r="L639" s="29"/>
      <c r="Z639" s="30"/>
    </row>
    <row r="640" spans="1:26" ht="13.9" customHeight="1" thickTop="1" x14ac:dyDescent="0.2">
      <c r="I640" s="7"/>
      <c r="J640" s="32"/>
      <c r="K640" s="28"/>
      <c r="L640" s="29"/>
      <c r="Z640" s="30"/>
    </row>
    <row r="641" spans="1:26" ht="13.9" customHeight="1" x14ac:dyDescent="0.2">
      <c r="A641" s="12" t="str">
        <f>IF(AND(C637="",E637="",G637="",I637="",I638="",G638="",E638="",C638=""),"",IF(AND(C637="",E637="",G637="xmol",I637="xmol",I638="",G638="",E638="xmol",C638="xmol"),"G","R"))</f>
        <v/>
      </c>
      <c r="B641" s="482" t="s">
        <v>390</v>
      </c>
      <c r="C641" s="245" t="s">
        <v>510</v>
      </c>
      <c r="D641" s="245"/>
      <c r="E641" s="245"/>
      <c r="F641" s="245"/>
      <c r="G641" s="245"/>
      <c r="H641" s="245"/>
      <c r="J641" s="32"/>
      <c r="K641" s="28"/>
      <c r="L641" s="29"/>
      <c r="Z641" s="30"/>
    </row>
    <row r="642" spans="1:26" ht="13.9" customHeight="1" x14ac:dyDescent="0.2">
      <c r="A642" s="12" t="str">
        <f>IF(AND(C639="",E639="",G639="",I639=""),"",IF(AND(OR(C639="(0,5+x)mol",C639="(0,50+x)mol"),OR(E639="(0,5+x)mol",E639="(0,50+x)mol"),OR(G639="(1,15-x)mol",G639="(1,15–x)mol"),OR(I639="(1,15-x)mol",I639="(1,15–x)mol")),"G","R"))</f>
        <v/>
      </c>
      <c r="B642" s="482"/>
      <c r="C642" s="245"/>
      <c r="D642" s="245"/>
      <c r="E642" s="245"/>
      <c r="F642" s="245"/>
      <c r="G642" s="245"/>
      <c r="H642" s="245"/>
      <c r="J642" s="32"/>
      <c r="K642" s="28"/>
      <c r="L642" s="29"/>
      <c r="Z642" s="30"/>
    </row>
    <row r="643" spans="1:26" ht="13.9" customHeight="1" x14ac:dyDescent="0.2">
      <c r="B643" s="482"/>
      <c r="C643" s="245"/>
      <c r="D643" s="245"/>
      <c r="E643" s="245"/>
      <c r="F643" s="245"/>
      <c r="G643" s="245"/>
      <c r="H643" s="245"/>
      <c r="J643" s="32"/>
      <c r="K643" s="28"/>
      <c r="L643" s="29"/>
      <c r="Z643" s="30"/>
    </row>
    <row r="644" spans="1:26" ht="13.9" customHeight="1" x14ac:dyDescent="0.2">
      <c r="B644" s="482"/>
      <c r="C644" s="245"/>
      <c r="D644" s="245"/>
      <c r="E644" s="245"/>
      <c r="F644" s="245"/>
      <c r="G644" s="245"/>
      <c r="H644" s="245"/>
      <c r="J644" s="32"/>
      <c r="K644" s="28"/>
      <c r="L644" s="29"/>
      <c r="Z644" s="30"/>
    </row>
    <row r="645" spans="1:26" ht="13.9" customHeight="1" x14ac:dyDescent="0.2">
      <c r="B645" s="482"/>
      <c r="C645" s="245"/>
      <c r="D645" s="245"/>
      <c r="E645" s="245"/>
      <c r="F645" s="245"/>
      <c r="G645" s="245"/>
      <c r="H645" s="245"/>
      <c r="J645" s="32"/>
      <c r="K645" s="28"/>
      <c r="L645" s="29"/>
      <c r="Z645" s="30"/>
    </row>
    <row r="646" spans="1:26" ht="13.9" customHeight="1" x14ac:dyDescent="0.2">
      <c r="B646" s="482"/>
      <c r="C646" s="245"/>
      <c r="D646" s="245"/>
      <c r="E646" s="245"/>
      <c r="F646" s="245"/>
      <c r="G646" s="245"/>
      <c r="H646" s="245"/>
      <c r="J646" s="32"/>
      <c r="K646" s="28"/>
      <c r="L646" s="29"/>
      <c r="Z646" s="30"/>
    </row>
    <row r="647" spans="1:26" ht="13.9" customHeight="1" thickBot="1" x14ac:dyDescent="0.25">
      <c r="I647" s="7"/>
      <c r="J647" s="32"/>
      <c r="K647" s="28"/>
      <c r="L647" s="29"/>
      <c r="Z647" s="30"/>
    </row>
    <row r="648" spans="1:26" ht="16.149999999999999" customHeight="1" thickTop="1" x14ac:dyDescent="0.2">
      <c r="B648" s="12" t="str">
        <f>IF(H648="","",IF(H648=4,"G","R"))</f>
        <v/>
      </c>
      <c r="C648" s="221" t="s">
        <v>282</v>
      </c>
      <c r="D648" s="221"/>
      <c r="E648" s="221"/>
      <c r="F648" s="221"/>
      <c r="G648" s="221"/>
      <c r="H648" s="215"/>
      <c r="I648" s="7"/>
      <c r="J648" s="32"/>
      <c r="K648" s="28"/>
      <c r="L648" s="29"/>
      <c r="Z648" s="30"/>
    </row>
    <row r="649" spans="1:26" ht="16.149999999999999" customHeight="1" thickBot="1" x14ac:dyDescent="0.25">
      <c r="C649" s="222"/>
      <c r="D649" s="222"/>
      <c r="E649" s="222"/>
      <c r="F649" s="222"/>
      <c r="G649" s="222"/>
      <c r="H649" s="217"/>
      <c r="I649" s="7"/>
      <c r="J649" s="124"/>
      <c r="K649" s="28"/>
      <c r="L649" s="29"/>
      <c r="Z649" s="30"/>
    </row>
    <row r="650" spans="1:26" ht="13.9" customHeight="1" thickTop="1" thickBot="1" x14ac:dyDescent="0.25">
      <c r="I650" s="7"/>
      <c r="J650" s="124"/>
      <c r="K650" s="28"/>
      <c r="L650" s="29"/>
      <c r="Z650" s="30"/>
    </row>
    <row r="651" spans="1:26" ht="15" customHeight="1" thickTop="1" x14ac:dyDescent="0.2">
      <c r="B651" s="12" t="str">
        <f>IF(H651="","",IF(H651=5.29,"G","R"))</f>
        <v/>
      </c>
      <c r="C651" s="221" t="s">
        <v>511</v>
      </c>
      <c r="D651" s="221"/>
      <c r="E651" s="221"/>
      <c r="F651" s="221"/>
      <c r="G651" s="221"/>
      <c r="H651" s="215"/>
      <c r="I651" s="7"/>
      <c r="J651" s="124"/>
      <c r="K651" s="28"/>
      <c r="L651" s="29"/>
      <c r="Z651" s="30"/>
    </row>
    <row r="652" spans="1:26" ht="15" customHeight="1" x14ac:dyDescent="0.2">
      <c r="C652" s="439"/>
      <c r="D652" s="439"/>
      <c r="E652" s="439"/>
      <c r="F652" s="439"/>
      <c r="G652" s="439"/>
      <c r="H652" s="216"/>
      <c r="I652" s="7"/>
      <c r="J652" s="124"/>
      <c r="K652" s="28"/>
      <c r="L652" s="29"/>
      <c r="Z652" s="30"/>
    </row>
    <row r="653" spans="1:26" ht="15" customHeight="1" thickBot="1" x14ac:dyDescent="0.25">
      <c r="C653" s="222"/>
      <c r="D653" s="222"/>
      <c r="E653" s="222"/>
      <c r="F653" s="222"/>
      <c r="G653" s="222"/>
      <c r="H653" s="217"/>
      <c r="I653" s="7"/>
      <c r="J653" s="124"/>
      <c r="K653" s="28"/>
      <c r="L653" s="29"/>
      <c r="Z653" s="30"/>
    </row>
    <row r="654" spans="1:26" ht="13.9" customHeight="1" thickTop="1" x14ac:dyDescent="0.2">
      <c r="A654" s="1"/>
      <c r="B654" s="1"/>
      <c r="C654" s="12" t="str">
        <f>IF(A641&lt;&gt;"G","",15)</f>
        <v/>
      </c>
      <c r="D654" s="12" t="str">
        <f>IF(A642&lt;&gt;"G","",6)</f>
        <v/>
      </c>
      <c r="E654" s="12" t="str">
        <f>IF(B648&lt;&gt;"G","",4)</f>
        <v/>
      </c>
      <c r="F654" s="12" t="str">
        <f>IF(B651&lt;&gt;"G","",5)</f>
        <v/>
      </c>
      <c r="G654" s="12" t="str">
        <f>IF(OR(G3&lt;&gt;"Επιμέλεια: Τουκμενίδης Μηνάς",B656&lt;&gt;"G"),"",15)</f>
        <v/>
      </c>
      <c r="H654" s="1"/>
      <c r="I654" s="7"/>
      <c r="J654" s="124"/>
      <c r="K654" s="28"/>
      <c r="L654" s="29"/>
      <c r="Z654" s="30"/>
    </row>
    <row r="655" spans="1:26" ht="13.9" customHeight="1" thickBot="1" x14ac:dyDescent="0.25">
      <c r="I655" s="7"/>
      <c r="J655" s="124"/>
      <c r="K655" s="28"/>
      <c r="L655" s="29"/>
      <c r="Z655" s="30"/>
    </row>
    <row r="656" spans="1:26" ht="16.149999999999999" customHeight="1" thickTop="1" x14ac:dyDescent="0.2">
      <c r="B656" s="12" t="str">
        <f>IF(H656="","",IF(H656="0,55mol","G","R"))</f>
        <v/>
      </c>
      <c r="C656" s="221" t="s">
        <v>512</v>
      </c>
      <c r="D656" s="221"/>
      <c r="E656" s="221"/>
      <c r="F656" s="221"/>
      <c r="G656" s="221"/>
      <c r="H656" s="219"/>
      <c r="I656" s="7"/>
      <c r="J656" s="209" t="str">
        <f>IF(K656="","",IF(K656=45,O17,O24))</f>
        <v/>
      </c>
      <c r="K656" s="203" t="str">
        <f>IF(OR(A641="",A642="",B648="",B651="",B656=""),"",SUM(C654:G654))</f>
        <v/>
      </c>
      <c r="L656" s="29"/>
      <c r="O656" s="311">
        <v>45</v>
      </c>
      <c r="Z656" s="30"/>
    </row>
    <row r="657" spans="1:26" ht="16.149999999999999" customHeight="1" thickBot="1" x14ac:dyDescent="0.25">
      <c r="C657" s="222"/>
      <c r="D657" s="222"/>
      <c r="E657" s="222"/>
      <c r="F657" s="222"/>
      <c r="G657" s="222"/>
      <c r="H657" s="220"/>
      <c r="I657" s="7"/>
      <c r="J657" s="210"/>
      <c r="K657" s="204"/>
      <c r="L657" s="29"/>
      <c r="O657" s="311"/>
      <c r="Z657" s="30"/>
    </row>
    <row r="658" spans="1:26" ht="13.9" customHeight="1" thickTop="1" x14ac:dyDescent="0.2">
      <c r="I658" s="7"/>
      <c r="J658" s="124"/>
      <c r="K658" s="28"/>
      <c r="L658" s="29"/>
      <c r="Z658" s="30"/>
    </row>
    <row r="659" spans="1:26" ht="13.9" customHeight="1" x14ac:dyDescent="0.2">
      <c r="A659" s="40"/>
      <c r="B659" s="40"/>
      <c r="C659" s="40"/>
      <c r="D659" s="40"/>
      <c r="E659" s="40"/>
      <c r="F659" s="40"/>
      <c r="G659" s="40"/>
      <c r="H659" s="40"/>
      <c r="I659" s="40"/>
      <c r="J659" s="28"/>
      <c r="K659" s="28"/>
      <c r="L659" s="29"/>
      <c r="Z659" s="30"/>
    </row>
    <row r="660" spans="1:26" ht="13.9" customHeight="1" x14ac:dyDescent="0.2">
      <c r="I660" s="7"/>
      <c r="J660" s="32"/>
      <c r="K660" s="28"/>
      <c r="L660" s="29"/>
      <c r="Z660" s="30"/>
    </row>
    <row r="661" spans="1:26" ht="13.9" customHeight="1" x14ac:dyDescent="0.2">
      <c r="A661" s="33" t="s">
        <v>452</v>
      </c>
      <c r="B661" s="230" t="s">
        <v>111</v>
      </c>
      <c r="C661" s="230"/>
      <c r="D661" s="230"/>
      <c r="E661" s="230"/>
      <c r="F661" s="230"/>
      <c r="G661" s="230"/>
      <c r="H661" s="230"/>
      <c r="I661" s="230"/>
      <c r="J661" s="32"/>
      <c r="K661" s="28"/>
      <c r="L661" s="29"/>
      <c r="Z661" s="30"/>
    </row>
    <row r="662" spans="1:26" ht="13.9" customHeight="1" x14ac:dyDescent="0.2">
      <c r="I662" s="7"/>
      <c r="J662" s="32"/>
      <c r="K662" s="28"/>
      <c r="L662" s="29"/>
      <c r="Z662" s="30"/>
    </row>
    <row r="663" spans="1:26" ht="18" customHeight="1" x14ac:dyDescent="0.25">
      <c r="B663" s="35" t="s">
        <v>340</v>
      </c>
      <c r="C663" s="46"/>
      <c r="D663" s="34" t="s">
        <v>228</v>
      </c>
      <c r="E663" s="74" t="s">
        <v>351</v>
      </c>
      <c r="F663" s="57" t="s">
        <v>109</v>
      </c>
      <c r="G663" s="50" t="s">
        <v>368</v>
      </c>
      <c r="H663" s="51" t="s">
        <v>110</v>
      </c>
      <c r="I663" s="84"/>
      <c r="J663" s="32"/>
      <c r="K663" s="28"/>
      <c r="L663" s="29"/>
      <c r="Z663" s="30"/>
    </row>
    <row r="664" spans="1:26" ht="13.9" customHeight="1" x14ac:dyDescent="0.2">
      <c r="I664" s="7"/>
      <c r="J664" s="32"/>
      <c r="K664" s="28"/>
      <c r="L664" s="29"/>
      <c r="Z664" s="30"/>
    </row>
    <row r="665" spans="1:26" ht="15" customHeight="1" x14ac:dyDescent="0.2">
      <c r="C665" s="226" t="s">
        <v>513</v>
      </c>
      <c r="D665" s="226"/>
      <c r="E665" s="226"/>
      <c r="F665" s="226"/>
      <c r="G665" s="226"/>
      <c r="H665" s="226"/>
      <c r="I665" s="7"/>
      <c r="J665" s="32"/>
      <c r="K665" s="28"/>
      <c r="L665" s="29"/>
      <c r="Z665" s="30"/>
    </row>
    <row r="666" spans="1:26" ht="15" customHeight="1" x14ac:dyDescent="0.2">
      <c r="C666" s="226"/>
      <c r="D666" s="226"/>
      <c r="E666" s="226"/>
      <c r="F666" s="226"/>
      <c r="G666" s="226"/>
      <c r="H666" s="226"/>
      <c r="I666" s="7"/>
      <c r="J666" s="32"/>
      <c r="K666" s="28"/>
      <c r="L666" s="29"/>
      <c r="Z666" s="30"/>
    </row>
    <row r="667" spans="1:26" ht="24" customHeight="1" x14ac:dyDescent="0.2">
      <c r="C667" s="226"/>
      <c r="D667" s="226"/>
      <c r="E667" s="226"/>
      <c r="F667" s="226"/>
      <c r="G667" s="226"/>
      <c r="H667" s="226"/>
      <c r="I667" s="7"/>
      <c r="J667" s="32"/>
      <c r="K667" s="28"/>
      <c r="L667" s="29"/>
      <c r="Z667" s="30"/>
    </row>
    <row r="668" spans="1:26" ht="15" customHeight="1" x14ac:dyDescent="0.2">
      <c r="C668" s="226"/>
      <c r="D668" s="226"/>
      <c r="E668" s="226"/>
      <c r="F668" s="226"/>
      <c r="G668" s="226"/>
      <c r="H668" s="226"/>
      <c r="I668" s="7"/>
      <c r="J668" s="32"/>
      <c r="K668" s="28"/>
      <c r="L668" s="29"/>
      <c r="Z668" s="30"/>
    </row>
    <row r="669" spans="1:26" ht="13.9" customHeight="1" thickBot="1" x14ac:dyDescent="0.25">
      <c r="I669" s="7"/>
      <c r="J669" s="32"/>
      <c r="K669" s="28"/>
      <c r="L669" s="29"/>
      <c r="Z669" s="30"/>
    </row>
    <row r="670" spans="1:26" ht="16.149999999999999" customHeight="1" thickTop="1" thickBot="1" x14ac:dyDescent="0.25">
      <c r="B670" s="12" t="str">
        <f>IF(OR(H670="",H672=""),"",IF(AND(H670="2atm",H672="2atm"),"G","R"))</f>
        <v/>
      </c>
      <c r="C670" s="394" t="s">
        <v>128</v>
      </c>
      <c r="D670" s="394"/>
      <c r="E670" s="394"/>
      <c r="F670" s="394"/>
      <c r="G670" s="394"/>
      <c r="H670" s="146"/>
      <c r="I670" s="7"/>
      <c r="J670" s="32"/>
      <c r="K670" s="28"/>
      <c r="L670" s="29"/>
      <c r="Z670" s="30"/>
    </row>
    <row r="671" spans="1:26" ht="13.9" customHeight="1" thickTop="1" thickBot="1" x14ac:dyDescent="0.25">
      <c r="I671" s="7"/>
      <c r="J671" s="32"/>
      <c r="K671" s="28"/>
      <c r="L671" s="29"/>
      <c r="Z671" s="30"/>
    </row>
    <row r="672" spans="1:26" ht="16.149999999999999" customHeight="1" thickTop="1" thickBot="1" x14ac:dyDescent="0.25">
      <c r="C672" s="394" t="s">
        <v>129</v>
      </c>
      <c r="D672" s="394"/>
      <c r="E672" s="394"/>
      <c r="F672" s="394"/>
      <c r="G672" s="394"/>
      <c r="H672" s="146"/>
      <c r="I672" s="7"/>
      <c r="J672" s="32"/>
      <c r="K672" s="28"/>
      <c r="L672" s="29"/>
      <c r="Z672" s="30"/>
    </row>
    <row r="673" spans="1:26" ht="13.9" customHeight="1" thickTop="1" thickBot="1" x14ac:dyDescent="0.25">
      <c r="I673" s="7"/>
      <c r="J673" s="32"/>
      <c r="K673" s="28"/>
      <c r="L673" s="29"/>
      <c r="Z673" s="30"/>
    </row>
    <row r="674" spans="1:26" ht="16.149999999999999" customHeight="1" thickTop="1" x14ac:dyDescent="0.2">
      <c r="B674" s="12" t="str">
        <f>IF(H674="","",IF(OR(H674="0,5atm^-2",H674="0,5atm^(-2)",H674="0,5atm^(–2)",H674="0,5atm^–2",H674="0,5/atm^2"),"G","R"))</f>
        <v/>
      </c>
      <c r="C674" s="221" t="s">
        <v>112</v>
      </c>
      <c r="D674" s="221"/>
      <c r="E674" s="221"/>
      <c r="F674" s="221"/>
      <c r="G674" s="221"/>
      <c r="H674" s="241"/>
      <c r="I674" s="43"/>
      <c r="J674" s="209" t="str">
        <f>IF(K674="","",IF(K674=15,O17,O24))</f>
        <v/>
      </c>
      <c r="K674" s="203" t="str">
        <f>IF(OR(B670="",B674=""),"",SUM(C677:D677))</f>
        <v/>
      </c>
      <c r="L674" s="29"/>
      <c r="O674" s="311">
        <v>15</v>
      </c>
      <c r="Z674" s="30"/>
    </row>
    <row r="675" spans="1:26" ht="16.149999999999999" customHeight="1" thickBot="1" x14ac:dyDescent="0.25">
      <c r="C675" s="222"/>
      <c r="D675" s="222"/>
      <c r="E675" s="222"/>
      <c r="F675" s="222"/>
      <c r="G675" s="222"/>
      <c r="H675" s="242"/>
      <c r="I675" s="43"/>
      <c r="J675" s="210"/>
      <c r="K675" s="204"/>
      <c r="L675" s="29"/>
      <c r="O675" s="311"/>
      <c r="Z675" s="30"/>
    </row>
    <row r="676" spans="1:26" ht="13.9" customHeight="1" thickTop="1" x14ac:dyDescent="0.2">
      <c r="I676" s="7"/>
      <c r="J676" s="125"/>
      <c r="K676" s="28"/>
      <c r="L676" s="29"/>
      <c r="Z676" s="30"/>
    </row>
    <row r="677" spans="1:26" ht="13.9" customHeight="1" x14ac:dyDescent="0.2">
      <c r="A677" s="40"/>
      <c r="B677" s="40"/>
      <c r="C677" s="45" t="str">
        <f>IF(B670&lt;&gt;"G","",10)</f>
        <v/>
      </c>
      <c r="D677" s="45" t="str">
        <f>IF(B674&lt;&gt;"G","",5)</f>
        <v/>
      </c>
      <c r="E677" s="40"/>
      <c r="F677" s="40"/>
      <c r="G677" s="40"/>
      <c r="H677" s="40"/>
      <c r="I677" s="40"/>
      <c r="J677" s="28"/>
      <c r="K677" s="28"/>
      <c r="L677" s="29"/>
      <c r="Z677" s="30"/>
    </row>
    <row r="678" spans="1:26" ht="13.9" customHeight="1" x14ac:dyDescent="0.2">
      <c r="I678" s="7"/>
      <c r="J678" s="32"/>
      <c r="K678" s="28"/>
      <c r="L678" s="29"/>
      <c r="Z678" s="30"/>
    </row>
    <row r="679" spans="1:26" ht="18" customHeight="1" x14ac:dyDescent="0.25">
      <c r="B679" s="35" t="s">
        <v>341</v>
      </c>
      <c r="C679" s="46"/>
      <c r="D679" s="47" t="s">
        <v>87</v>
      </c>
      <c r="E679" s="50" t="s">
        <v>368</v>
      </c>
      <c r="F679" s="51" t="s">
        <v>278</v>
      </c>
      <c r="G679" s="84"/>
      <c r="H679" s="5"/>
      <c r="I679" s="5"/>
      <c r="J679" s="32"/>
      <c r="K679" s="28"/>
      <c r="L679" s="29"/>
      <c r="Z679" s="30"/>
    </row>
    <row r="680" spans="1:26" ht="13.9" customHeight="1" x14ac:dyDescent="0.2">
      <c r="I680" s="7"/>
      <c r="J680" s="32"/>
      <c r="K680" s="28"/>
      <c r="L680" s="29"/>
      <c r="Z680" s="30"/>
    </row>
    <row r="681" spans="1:26" ht="16.149999999999999" customHeight="1" x14ac:dyDescent="0.2">
      <c r="C681" s="245" t="s">
        <v>113</v>
      </c>
      <c r="D681" s="245"/>
      <c r="E681" s="245"/>
      <c r="F681" s="245"/>
      <c r="G681" s="245"/>
      <c r="H681" s="245"/>
      <c r="I681" s="7"/>
      <c r="J681" s="32"/>
      <c r="K681" s="28"/>
      <c r="L681" s="29"/>
      <c r="Z681" s="30"/>
    </row>
    <row r="682" spans="1:26" ht="16.149999999999999" customHeight="1" x14ac:dyDescent="0.2">
      <c r="C682" s="245"/>
      <c r="D682" s="245"/>
      <c r="E682" s="245"/>
      <c r="F682" s="245"/>
      <c r="G682" s="245"/>
      <c r="H682" s="245"/>
      <c r="I682" s="7"/>
      <c r="J682" s="32"/>
      <c r="K682" s="28"/>
      <c r="L682" s="29"/>
      <c r="Z682" s="30"/>
    </row>
    <row r="683" spans="1:26" ht="16.149999999999999" customHeight="1" x14ac:dyDescent="0.2">
      <c r="C683" s="245"/>
      <c r="D683" s="245"/>
      <c r="E683" s="245"/>
      <c r="F683" s="245"/>
      <c r="G683" s="245"/>
      <c r="H683" s="245"/>
      <c r="I683" s="7"/>
      <c r="J683" s="32"/>
      <c r="K683" s="28"/>
      <c r="L683" s="29"/>
      <c r="Z683" s="30"/>
    </row>
    <row r="684" spans="1:26" ht="16.149999999999999" customHeight="1" x14ac:dyDescent="0.2">
      <c r="C684" s="245"/>
      <c r="D684" s="245"/>
      <c r="E684" s="245"/>
      <c r="F684" s="245"/>
      <c r="G684" s="245"/>
      <c r="H684" s="245"/>
      <c r="I684" s="7"/>
      <c r="J684" s="32"/>
      <c r="K684" s="28"/>
      <c r="L684" s="29"/>
      <c r="Z684" s="30"/>
    </row>
    <row r="685" spans="1:26" ht="13.9" customHeight="1" thickBot="1" x14ac:dyDescent="0.25">
      <c r="I685" s="7"/>
      <c r="J685" s="32"/>
      <c r="K685" s="28"/>
      <c r="L685" s="29"/>
      <c r="Z685" s="30"/>
    </row>
    <row r="686" spans="1:26" ht="16.149999999999999" customHeight="1" thickTop="1" thickBot="1" x14ac:dyDescent="0.25">
      <c r="C686" s="394" t="s">
        <v>126</v>
      </c>
      <c r="D686" s="394"/>
      <c r="E686" s="394"/>
      <c r="F686" s="394"/>
      <c r="G686" s="394"/>
      <c r="H686" s="146"/>
      <c r="I686" s="15" t="str">
        <f>IF(H686="","",IF(H686="1atm","G","R"))</f>
        <v/>
      </c>
      <c r="J686" s="32"/>
      <c r="K686" s="28"/>
      <c r="L686" s="29"/>
      <c r="Z686" s="30"/>
    </row>
    <row r="687" spans="1:26" ht="13.9" customHeight="1" thickTop="1" thickBot="1" x14ac:dyDescent="0.25">
      <c r="I687" s="43"/>
      <c r="J687" s="209" t="str">
        <f>IF(K687="","",IF(K687=20,O17,O24))</f>
        <v/>
      </c>
      <c r="K687" s="203" t="str">
        <f>IF(OR(I686="",I688=""),"",SUM(F690:G690))</f>
        <v/>
      </c>
      <c r="L687" s="29"/>
      <c r="O687" s="311">
        <v>20</v>
      </c>
      <c r="Z687" s="30"/>
    </row>
    <row r="688" spans="1:26" ht="16.149999999999999" customHeight="1" thickTop="1" thickBot="1" x14ac:dyDescent="0.25">
      <c r="C688" s="394" t="s">
        <v>127</v>
      </c>
      <c r="D688" s="394"/>
      <c r="E688" s="394"/>
      <c r="F688" s="394"/>
      <c r="G688" s="394"/>
      <c r="H688" s="146"/>
      <c r="I688" s="13" t="str">
        <f>IF(H688="","",IF(H688="2atm","G","R"))</f>
        <v/>
      </c>
      <c r="J688" s="210"/>
      <c r="K688" s="204"/>
      <c r="L688" s="29"/>
      <c r="O688" s="311"/>
      <c r="Z688" s="30"/>
    </row>
    <row r="689" spans="1:26" ht="13.9" customHeight="1" thickTop="1" x14ac:dyDescent="0.2">
      <c r="I689" s="7"/>
      <c r="J689" s="32"/>
      <c r="K689" s="28"/>
      <c r="L689" s="29"/>
      <c r="Z689" s="30"/>
    </row>
    <row r="690" spans="1:26" ht="13.9" customHeight="1" x14ac:dyDescent="0.2">
      <c r="A690" s="40"/>
      <c r="B690" s="40"/>
      <c r="C690" s="40"/>
      <c r="D690" s="40"/>
      <c r="E690" s="40"/>
      <c r="F690" s="45" t="str">
        <f>IF(I686&lt;&gt;"G","",15)</f>
        <v/>
      </c>
      <c r="G690" s="45" t="str">
        <f>IF(I688&lt;&gt;"G","",5)</f>
        <v/>
      </c>
      <c r="H690" s="40"/>
      <c r="I690" s="40"/>
      <c r="J690" s="28"/>
      <c r="K690" s="28"/>
      <c r="L690" s="29"/>
      <c r="Z690" s="30"/>
    </row>
    <row r="691" spans="1:26" ht="13.9" customHeight="1" thickBot="1" x14ac:dyDescent="0.25">
      <c r="I691" s="7"/>
      <c r="J691" s="32"/>
      <c r="K691" s="28"/>
      <c r="L691" s="29"/>
      <c r="Z691" s="30"/>
    </row>
    <row r="692" spans="1:26" ht="18" customHeight="1" thickBot="1" x14ac:dyDescent="0.3">
      <c r="B692" s="35" t="s">
        <v>342</v>
      </c>
      <c r="C692" s="126"/>
      <c r="D692" s="34" t="s">
        <v>229</v>
      </c>
      <c r="E692" s="50" t="s">
        <v>368</v>
      </c>
      <c r="F692" s="95" t="s">
        <v>114</v>
      </c>
      <c r="G692" s="74" t="s">
        <v>351</v>
      </c>
      <c r="H692" s="91" t="s">
        <v>115</v>
      </c>
      <c r="I692" s="52"/>
      <c r="J692" s="32"/>
      <c r="K692" s="28"/>
      <c r="L692" s="29"/>
      <c r="M692" s="232" t="s">
        <v>193</v>
      </c>
      <c r="N692" s="233"/>
      <c r="Z692" s="30"/>
    </row>
    <row r="693" spans="1:26" ht="13.9" customHeight="1" thickBot="1" x14ac:dyDescent="0.25">
      <c r="I693" s="7"/>
      <c r="J693" s="32"/>
      <c r="K693" s="28"/>
      <c r="L693" s="29"/>
      <c r="M693" s="232"/>
      <c r="N693" s="233"/>
      <c r="Z693" s="30"/>
    </row>
    <row r="694" spans="1:26" ht="13.9" customHeight="1" thickTop="1" thickBot="1" x14ac:dyDescent="0.3">
      <c r="B694" s="62" t="s">
        <v>376</v>
      </c>
      <c r="C694" s="66" t="s">
        <v>369</v>
      </c>
      <c r="D694" s="64" t="s">
        <v>379</v>
      </c>
      <c r="E694" s="213" t="s">
        <v>368</v>
      </c>
      <c r="F694" s="65"/>
      <c r="G694" s="214" t="s">
        <v>351</v>
      </c>
      <c r="H694" s="65"/>
      <c r="I694" s="205" t="s">
        <v>116</v>
      </c>
      <c r="J694" s="206"/>
      <c r="K694" s="28"/>
      <c r="L694" s="29"/>
      <c r="M694" s="227"/>
      <c r="N694" s="228"/>
      <c r="P694" s="295" t="str">
        <f>IF(M694="Ναι","→","")</f>
        <v/>
      </c>
      <c r="Q694" s="296" t="str">
        <f>IF(M694&lt;&gt;"Ναι","","Λύση του προβλήματος 10γ.")</f>
        <v/>
      </c>
      <c r="R694" s="296"/>
      <c r="S694" s="296"/>
      <c r="Z694" s="30"/>
    </row>
    <row r="695" spans="1:26" ht="13.9" customHeight="1" thickTop="1" thickBot="1" x14ac:dyDescent="0.25">
      <c r="C695" s="66" t="s">
        <v>372</v>
      </c>
      <c r="D695" s="64" t="s">
        <v>381</v>
      </c>
      <c r="E695" s="213"/>
      <c r="F695" s="75"/>
      <c r="G695" s="214"/>
      <c r="H695" s="75"/>
      <c r="I695" s="207"/>
      <c r="J695" s="32"/>
      <c r="K695" s="28"/>
      <c r="L695" s="29"/>
      <c r="M695" s="227"/>
      <c r="N695" s="228"/>
      <c r="P695" s="295"/>
      <c r="Q695" s="235" t="str">
        <f>IF(M694&lt;&gt;"Ναι","","Συμπληρώνουμε τον πίνακα κατά τα γνωστά.")</f>
        <v/>
      </c>
      <c r="R695" s="235"/>
      <c r="S695" s="235"/>
      <c r="T695" s="235"/>
      <c r="U695" s="235"/>
      <c r="V695" s="235"/>
      <c r="W695" s="235"/>
      <c r="X695" s="235"/>
      <c r="Z695" s="30"/>
    </row>
    <row r="696" spans="1:26" ht="13.9" customHeight="1" thickTop="1" thickBot="1" x14ac:dyDescent="0.3">
      <c r="C696" s="66" t="s">
        <v>370</v>
      </c>
      <c r="D696" s="72"/>
      <c r="E696" s="213"/>
      <c r="F696" s="146"/>
      <c r="G696" s="214"/>
      <c r="H696" s="146"/>
      <c r="I696" s="207"/>
      <c r="J696" s="32"/>
      <c r="K696" s="28"/>
      <c r="L696" s="29"/>
      <c r="Q696" s="5"/>
      <c r="R696" s="18" t="str">
        <f>IF(M$694&lt;&gt;"Ναι","","COCl2(g)")</f>
        <v/>
      </c>
      <c r="S696" s="16" t="str">
        <f>IF(M694&lt;&gt;"Ναι","","D")</f>
        <v/>
      </c>
      <c r="T696" s="18" t="str">
        <f>IF(M$694&lt;&gt;"Ναι","","CO(g)")</f>
        <v/>
      </c>
      <c r="U696" s="17" t="str">
        <f>IF(M694&lt;&gt;"Ναι","","+")</f>
        <v/>
      </c>
      <c r="V696" s="18" t="str">
        <f>IF(M$694&lt;&gt;"Ναι","","Cl2(g)")</f>
        <v/>
      </c>
      <c r="W696" s="5"/>
      <c r="X696" s="7"/>
      <c r="Z696" s="30"/>
    </row>
    <row r="697" spans="1:26" ht="13.9" customHeight="1" thickTop="1" thickBot="1" x14ac:dyDescent="0.3">
      <c r="A697" s="12" t="str">
        <f>IF(OR(F696="",D697="",H696="",F697="",H697=""),"",IF(AND(F696="xmol",H696="xmol",F697="xmol",H697="xmol",OR(D697="(n-x)mol",D697="(n–x)mol")),"G","R"))</f>
        <v/>
      </c>
      <c r="B697" s="62" t="s">
        <v>376</v>
      </c>
      <c r="C697" s="73" t="s">
        <v>371</v>
      </c>
      <c r="D697" s="146"/>
      <c r="E697" s="213"/>
      <c r="F697" s="146"/>
      <c r="G697" s="214"/>
      <c r="H697" s="146"/>
      <c r="I697" s="205" t="s">
        <v>117</v>
      </c>
      <c r="J697" s="206"/>
      <c r="K697" s="28"/>
      <c r="L697" s="29"/>
      <c r="Q697" s="159" t="str">
        <f>IF(M694&lt;&gt;"Ναι","","αρχικά")</f>
        <v/>
      </c>
      <c r="R697" s="14" t="str">
        <f>IF(M$694&lt;&gt;"Ναι","","nmol")</f>
        <v/>
      </c>
      <c r="S697" s="289" t="str">
        <f>IF(M694&lt;&gt;"Ναι","","D")</f>
        <v/>
      </c>
      <c r="T697" s="7"/>
      <c r="U697" s="288" t="str">
        <f>IF(M694&lt;&gt;"Ναι","","+")</f>
        <v/>
      </c>
      <c r="V697" s="7"/>
      <c r="W697" s="314" t="str">
        <f>IF(M$694&lt;&gt;"Ναι","","Pα=2,4atm")</f>
        <v/>
      </c>
      <c r="X697" s="314"/>
      <c r="Z697" s="30"/>
    </row>
    <row r="698" spans="1:26" ht="13.9" customHeight="1" thickTop="1" x14ac:dyDescent="0.2">
      <c r="I698" s="7"/>
      <c r="J698" s="32"/>
      <c r="K698" s="28"/>
      <c r="L698" s="29"/>
      <c r="Q698" s="159" t="str">
        <f>IF(M694&lt;&gt;"Ναι","","αντέδρασαν")</f>
        <v/>
      </c>
      <c r="R698" s="14" t="str">
        <f>IF(M$694&lt;&gt;"Ναι","","xmol")</f>
        <v/>
      </c>
      <c r="S698" s="289"/>
      <c r="T698" s="7"/>
      <c r="U698" s="288"/>
      <c r="V698" s="7"/>
      <c r="W698" s="207"/>
      <c r="X698" s="7"/>
      <c r="Z698" s="30"/>
    </row>
    <row r="699" spans="1:26" ht="13.9" customHeight="1" x14ac:dyDescent="0.2">
      <c r="C699" s="472" t="s">
        <v>453</v>
      </c>
      <c r="D699" s="472"/>
      <c r="E699" s="472"/>
      <c r="F699" s="472"/>
      <c r="G699" s="472"/>
      <c r="H699" s="472"/>
      <c r="I699" s="7"/>
      <c r="J699" s="32"/>
      <c r="K699" s="28"/>
      <c r="L699" s="29"/>
      <c r="Q699" s="159" t="str">
        <f>IF(M694&lt;&gt;"Ναι","","παρ/θηκαν")</f>
        <v/>
      </c>
      <c r="R699" s="10"/>
      <c r="S699" s="289"/>
      <c r="T699" s="14" t="str">
        <f>IF(M$694&lt;&gt;"Ναι","","xmol")</f>
        <v/>
      </c>
      <c r="U699" s="288"/>
      <c r="V699" s="14" t="str">
        <f>IF(M$694&lt;&gt;"Ναι","","xmol")</f>
        <v/>
      </c>
      <c r="W699" s="207"/>
      <c r="X699" s="7"/>
      <c r="Z699" s="30"/>
    </row>
    <row r="700" spans="1:26" ht="13.9" customHeight="1" x14ac:dyDescent="0.2">
      <c r="C700" s="472"/>
      <c r="D700" s="472"/>
      <c r="E700" s="472"/>
      <c r="F700" s="472"/>
      <c r="G700" s="472"/>
      <c r="H700" s="472"/>
      <c r="I700" s="7"/>
      <c r="J700" s="32"/>
      <c r="K700" s="28"/>
      <c r="L700" s="29"/>
      <c r="Q700" s="156" t="str">
        <f>IF(M694&lt;&gt;"Ναι","","ΚΧΙ")</f>
        <v/>
      </c>
      <c r="R700" s="158" t="str">
        <f>IF(M$694&lt;&gt;"Ναι","","(n–x)mol")</f>
        <v/>
      </c>
      <c r="S700" s="289"/>
      <c r="T700" s="158" t="str">
        <f>IF(M$694&lt;&gt;"Ναι","","xmol")</f>
        <v/>
      </c>
      <c r="U700" s="288"/>
      <c r="V700" s="158" t="str">
        <f>IF(M$694&lt;&gt;"Ναι","","xmol")</f>
        <v/>
      </c>
      <c r="W700" s="314" t="str">
        <f>IF(M$694&lt;&gt;"Ναι","","Pτ=2,8atm")</f>
        <v/>
      </c>
      <c r="X700" s="314"/>
      <c r="Z700" s="30"/>
    </row>
    <row r="701" spans="1:26" ht="13.9" customHeight="1" thickBot="1" x14ac:dyDescent="0.25">
      <c r="I701" s="7"/>
      <c r="J701" s="32"/>
      <c r="K701" s="28"/>
      <c r="L701" s="29"/>
      <c r="Z701" s="30"/>
    </row>
    <row r="702" spans="1:26" ht="13.9" customHeight="1" thickTop="1" thickBot="1" x14ac:dyDescent="0.25">
      <c r="A702" s="12" t="str">
        <f>IF(OR(I702="",I703="",I704=""),"",IF(AND(I702="Λ",I703="Λ",I704="Σ"),"G","R"))</f>
        <v/>
      </c>
      <c r="C702" s="460" t="s">
        <v>118</v>
      </c>
      <c r="D702" s="460"/>
      <c r="E702" s="460"/>
      <c r="F702" s="460"/>
      <c r="G702" s="460"/>
      <c r="H702" s="118" t="s">
        <v>480</v>
      </c>
      <c r="I702" s="176"/>
      <c r="J702" s="32"/>
      <c r="K702" s="28"/>
      <c r="L702" s="29"/>
      <c r="Q702" s="235" t="str">
        <f>IF(M694&lt;&gt;"Ναι","","Από την εφαρμογή της καταστατικής εξίσωσης των ιδανικών αερίων, στην αρχική και την τελικά κατάσταση, έχουμε…")</f>
        <v/>
      </c>
      <c r="R702" s="235"/>
      <c r="S702" s="235"/>
      <c r="T702" s="235"/>
      <c r="U702" s="235"/>
      <c r="V702" s="235"/>
      <c r="W702" s="235"/>
      <c r="X702" s="235"/>
      <c r="Z702" s="30"/>
    </row>
    <row r="703" spans="1:26" ht="13.9" customHeight="1" thickTop="1" thickBot="1" x14ac:dyDescent="0.25">
      <c r="C703" s="460"/>
      <c r="D703" s="460"/>
      <c r="E703" s="460"/>
      <c r="F703" s="460"/>
      <c r="G703" s="460"/>
      <c r="H703" s="118" t="s">
        <v>481</v>
      </c>
      <c r="I703" s="176"/>
      <c r="J703" s="32"/>
      <c r="K703" s="28"/>
      <c r="L703" s="29"/>
      <c r="Q703" s="235"/>
      <c r="R703" s="235"/>
      <c r="S703" s="235"/>
      <c r="T703" s="235"/>
      <c r="U703" s="235"/>
      <c r="V703" s="235"/>
      <c r="W703" s="235"/>
      <c r="X703" s="235"/>
      <c r="Z703" s="30"/>
    </row>
    <row r="704" spans="1:26" ht="13.9" customHeight="1" thickTop="1" thickBot="1" x14ac:dyDescent="0.25">
      <c r="C704" s="460"/>
      <c r="D704" s="460"/>
      <c r="E704" s="460"/>
      <c r="F704" s="460"/>
      <c r="G704" s="460"/>
      <c r="H704" s="118" t="s">
        <v>454</v>
      </c>
      <c r="I704" s="176"/>
      <c r="J704" s="32"/>
      <c r="K704" s="28"/>
      <c r="L704" s="29"/>
      <c r="Q704" s="302" t="str">
        <f>IF(M694&lt;&gt;"Ναι","","αρχικά:  2,4·V=n·R·T         τελικά:   2,8·V=(n+x)·R·T.")</f>
        <v/>
      </c>
      <c r="R704" s="302"/>
      <c r="S704" s="302"/>
      <c r="T704" s="302"/>
      <c r="U704" s="302"/>
      <c r="V704" s="302"/>
      <c r="W704" s="302"/>
      <c r="X704" s="302"/>
      <c r="Z704" s="30"/>
    </row>
    <row r="705" spans="1:26" ht="13.9" customHeight="1" thickTop="1" thickBot="1" x14ac:dyDescent="0.25">
      <c r="I705" s="7"/>
      <c r="J705" s="32"/>
      <c r="K705" s="28"/>
      <c r="L705" s="29"/>
      <c r="Q705" s="307" t="str">
        <f>IF(M694&lt;&gt;"Ναι","","Με διαίρεση των δυο τελευταίων σχέσεων κατά μέλη, παίρνουμε…
2,4/2,8=n/(n+x)  άρα  6/7=n/(n+x)  δηλαδή  n=6x.")</f>
        <v/>
      </c>
      <c r="R705" s="307"/>
      <c r="S705" s="307"/>
      <c r="T705" s="307"/>
      <c r="U705" s="307"/>
      <c r="V705" s="307"/>
      <c r="W705" s="307"/>
      <c r="X705" s="307"/>
      <c r="Z705" s="30"/>
    </row>
    <row r="706" spans="1:26" ht="16.149999999999999" customHeight="1" thickTop="1" thickBot="1" x14ac:dyDescent="0.25">
      <c r="A706" s="12" t="str">
        <f>IF(H706="","",IF(H706=1/7,"G","R"))</f>
        <v/>
      </c>
      <c r="C706" s="212" t="s">
        <v>119</v>
      </c>
      <c r="D706" s="212"/>
      <c r="E706" s="212"/>
      <c r="F706" s="212"/>
      <c r="G706" s="212"/>
      <c r="H706" s="223"/>
      <c r="I706" s="7"/>
      <c r="J706" s="32"/>
      <c r="K706" s="28"/>
      <c r="L706" s="29"/>
      <c r="Q706" s="307"/>
      <c r="R706" s="307"/>
      <c r="S706" s="307"/>
      <c r="T706" s="307"/>
      <c r="U706" s="307"/>
      <c r="V706" s="307"/>
      <c r="W706" s="307"/>
      <c r="X706" s="307"/>
      <c r="Z706" s="30"/>
    </row>
    <row r="707" spans="1:26" ht="16.149999999999999" customHeight="1" thickTop="1" thickBot="1" x14ac:dyDescent="0.25">
      <c r="C707" s="212"/>
      <c r="D707" s="212"/>
      <c r="E707" s="212"/>
      <c r="F707" s="212"/>
      <c r="G707" s="212"/>
      <c r="H707" s="223"/>
      <c r="I707" s="7"/>
      <c r="J707" s="32"/>
      <c r="K707" s="28"/>
      <c r="L707" s="29"/>
      <c r="Q707" s="235" t="str">
        <f>IF(M694&lt;&gt;"Ναι","","Επομένως οι ποσότητες των τριών αερίων που θα περιέχονται στο δοχείο στην ΚΧΙ, είναι οι παρακάτω:   COCl2: 5xmol,  CO: xmol  και  Cl2: xmol.")</f>
        <v/>
      </c>
      <c r="R707" s="235"/>
      <c r="S707" s="235"/>
      <c r="T707" s="235"/>
      <c r="U707" s="235"/>
      <c r="V707" s="235"/>
      <c r="W707" s="235"/>
      <c r="X707" s="235"/>
      <c r="Z707" s="30"/>
    </row>
    <row r="708" spans="1:26" ht="13.9" customHeight="1" thickTop="1" thickBot="1" x14ac:dyDescent="0.25">
      <c r="I708" s="7"/>
      <c r="J708" s="32"/>
      <c r="K708" s="28"/>
      <c r="L708" s="29"/>
      <c r="Q708" s="235"/>
      <c r="R708" s="235"/>
      <c r="S708" s="235"/>
      <c r="T708" s="235"/>
      <c r="U708" s="235"/>
      <c r="V708" s="235"/>
      <c r="W708" s="235"/>
      <c r="X708" s="235"/>
      <c r="Z708" s="30"/>
    </row>
    <row r="709" spans="1:26" ht="16.149999999999999" customHeight="1" thickTop="1" thickBot="1" x14ac:dyDescent="0.25">
      <c r="A709" s="12" t="str">
        <f>IF(H709="","",IF(H709="2atm","G","R"))</f>
        <v/>
      </c>
      <c r="C709" s="212" t="s">
        <v>124</v>
      </c>
      <c r="D709" s="212"/>
      <c r="E709" s="212"/>
      <c r="F709" s="212"/>
      <c r="G709" s="212"/>
      <c r="H709" s="218"/>
      <c r="I709" s="7"/>
      <c r="J709" s="32"/>
      <c r="K709" s="28"/>
      <c r="L709" s="29"/>
      <c r="Q709" s="302" t="str">
        <f>IF(M694&lt;&gt;"Ναι","","Συνεπώς το μοριακό κλάσμα του CO στο αέριο μίγμα που περιέχεται στο δοχείο στην ΚΧΙ, θα είναι ίσο με   x/(5x+x+x)=1/7.")</f>
        <v/>
      </c>
      <c r="R709" s="302"/>
      <c r="S709" s="302"/>
      <c r="T709" s="302"/>
      <c r="U709" s="302"/>
      <c r="V709" s="302"/>
      <c r="W709" s="302"/>
      <c r="X709" s="302"/>
      <c r="Z709" s="30"/>
    </row>
    <row r="710" spans="1:26" ht="16.149999999999999" customHeight="1" thickTop="1" thickBot="1" x14ac:dyDescent="0.25">
      <c r="C710" s="212"/>
      <c r="D710" s="212"/>
      <c r="E710" s="212"/>
      <c r="F710" s="212"/>
      <c r="G710" s="212"/>
      <c r="H710" s="218"/>
      <c r="I710" s="7"/>
      <c r="J710" s="32"/>
      <c r="K710" s="28"/>
      <c r="L710" s="29"/>
      <c r="Q710" s="302"/>
      <c r="R710" s="302"/>
      <c r="S710" s="302"/>
      <c r="T710" s="302"/>
      <c r="U710" s="302"/>
      <c r="V710" s="302"/>
      <c r="W710" s="302"/>
      <c r="X710" s="302"/>
      <c r="Z710" s="30"/>
    </row>
    <row r="711" spans="1:26" ht="13.9" customHeight="1" thickTop="1" thickBot="1" x14ac:dyDescent="0.25">
      <c r="I711" s="7"/>
      <c r="J711" s="32"/>
      <c r="K711" s="28"/>
      <c r="L711" s="29"/>
      <c r="Q711" s="302"/>
      <c r="R711" s="302"/>
      <c r="S711" s="302"/>
      <c r="T711" s="302"/>
      <c r="U711" s="302"/>
      <c r="V711" s="302"/>
      <c r="W711" s="302"/>
      <c r="X711" s="302"/>
      <c r="Z711" s="30"/>
    </row>
    <row r="712" spans="1:26" ht="16.149999999999999" customHeight="1" thickTop="1" thickBot="1" x14ac:dyDescent="0.25">
      <c r="A712" s="12" t="str">
        <f>IF(H712="","",IF(H712="0,4atm","G","R"))</f>
        <v/>
      </c>
      <c r="C712" s="212" t="s">
        <v>125</v>
      </c>
      <c r="D712" s="212"/>
      <c r="E712" s="212"/>
      <c r="F712" s="212"/>
      <c r="G712" s="212"/>
      <c r="H712" s="146"/>
      <c r="I712" s="7"/>
      <c r="J712" s="32"/>
      <c r="K712" s="28"/>
      <c r="L712" s="29"/>
      <c r="Q712" s="297" t="str">
        <f>IF(M694&lt;&gt;"Ναι","","Για τη μερική πίεση του COCl2, στην ΚΧΙ θα πούμε:
P1/Pολ=n1/nολ,  δηλ.  P1/2,8=5x/7x,  άρα  P1=2,8·5/7=2atm.")</f>
        <v/>
      </c>
      <c r="R712" s="297"/>
      <c r="S712" s="297"/>
      <c r="T712" s="297"/>
      <c r="U712" s="297"/>
      <c r="V712" s="297"/>
      <c r="W712" s="297"/>
      <c r="X712" s="297"/>
      <c r="Z712" s="30"/>
    </row>
    <row r="713" spans="1:26" ht="13.9" customHeight="1" thickTop="1" thickBot="1" x14ac:dyDescent="0.25">
      <c r="I713" s="7"/>
      <c r="J713" s="32"/>
      <c r="K713" s="28"/>
      <c r="L713" s="29"/>
      <c r="Q713" s="297"/>
      <c r="R713" s="297"/>
      <c r="S713" s="297"/>
      <c r="T713" s="297"/>
      <c r="U713" s="297"/>
      <c r="V713" s="297"/>
      <c r="W713" s="297"/>
      <c r="X713" s="297"/>
      <c r="Z713" s="30"/>
    </row>
    <row r="714" spans="1:26" ht="16.149999999999999" customHeight="1" thickTop="1" thickBot="1" x14ac:dyDescent="0.25">
      <c r="A714" s="12" t="str">
        <f>IF(H714="","",IF(OR(H714=16.67%,H714=16.66%),"G","R"))</f>
        <v/>
      </c>
      <c r="C714" s="212" t="s">
        <v>120</v>
      </c>
      <c r="D714" s="212"/>
      <c r="E714" s="212"/>
      <c r="F714" s="212"/>
      <c r="G714" s="212"/>
      <c r="H714" s="473"/>
      <c r="I714" s="7"/>
      <c r="J714" s="32"/>
      <c r="K714" s="28"/>
      <c r="L714" s="29"/>
      <c r="Q714" s="235" t="str">
        <f>IF(M694&lt;&gt;"Ναι","","Είναι φανερό ότι οι μερικές πιέσεις των άλλων δυο αερίων, στην ΚΧΙ θα είναι ίσες μεταξύ τους, αφού το τελικό αέριο μίγμα είναι ισομοριακό, ως προς τα δυο αυτά αέρια. Εύκολα προκύπτει λοιπόν, ότι θα είναι…   P2=P3=(2,8–2)/2=0,4atm.")</f>
        <v/>
      </c>
      <c r="R714" s="235"/>
      <c r="S714" s="235"/>
      <c r="T714" s="235"/>
      <c r="U714" s="235"/>
      <c r="V714" s="235"/>
      <c r="W714" s="235"/>
      <c r="X714" s="235"/>
      <c r="Z714" s="30"/>
    </row>
    <row r="715" spans="1:26" ht="16.149999999999999" customHeight="1" thickTop="1" thickBot="1" x14ac:dyDescent="0.25">
      <c r="C715" s="212"/>
      <c r="D715" s="212"/>
      <c r="E715" s="212"/>
      <c r="F715" s="212"/>
      <c r="G715" s="212"/>
      <c r="H715" s="473"/>
      <c r="I715" s="7"/>
      <c r="J715" s="32"/>
      <c r="K715" s="28"/>
      <c r="L715" s="29"/>
      <c r="Q715" s="235"/>
      <c r="R715" s="235"/>
      <c r="S715" s="235"/>
      <c r="T715" s="235"/>
      <c r="U715" s="235"/>
      <c r="V715" s="235"/>
      <c r="W715" s="235"/>
      <c r="X715" s="235"/>
      <c r="Z715" s="30"/>
    </row>
    <row r="716" spans="1:26" ht="13.9" customHeight="1" thickTop="1" thickBot="1" x14ac:dyDescent="0.25">
      <c r="I716" s="7"/>
      <c r="J716" s="32"/>
      <c r="K716" s="28"/>
      <c r="L716" s="29"/>
      <c r="Q716" s="235"/>
      <c r="R716" s="235"/>
      <c r="S716" s="235"/>
      <c r="T716" s="235"/>
      <c r="U716" s="235"/>
      <c r="V716" s="235"/>
      <c r="W716" s="235"/>
      <c r="X716" s="235"/>
      <c r="Z716" s="30"/>
    </row>
    <row r="717" spans="1:26" ht="16.149999999999999" customHeight="1" thickTop="1" thickBot="1" x14ac:dyDescent="0.25">
      <c r="A717" s="12" t="str">
        <f>IF(H717="","",IF(H717="0,08atm","G","R"))</f>
        <v/>
      </c>
      <c r="C717" s="212" t="s">
        <v>121</v>
      </c>
      <c r="D717" s="212"/>
      <c r="E717" s="212"/>
      <c r="F717" s="212"/>
      <c r="G717" s="212"/>
      <c r="H717" s="218"/>
      <c r="I717" s="43"/>
      <c r="J717" s="243" t="str">
        <f>IF(K717="","",IF(K717=50,"ΜΠΡΑΒΟ!.","ΧΜΜ!.."))</f>
        <v/>
      </c>
      <c r="K717" s="203" t="str">
        <f>IF(OR(A697="",A702="",A706="",A709="",A712="",A714="",A717="",M694="Ναι"),"",SUM(C720:I720))</f>
        <v/>
      </c>
      <c r="L717" s="29"/>
      <c r="O717" s="311">
        <v>50</v>
      </c>
      <c r="Q717" s="298" t="str">
        <f>IF(M694&lt;&gt;"Ναι","","Για τον υπολογισμό της σταθεράς Kp θα έχουμε…  Kp=P2·P3/P1=0,4·0.4/2=0,08atm.")</f>
        <v/>
      </c>
      <c r="R717" s="298"/>
      <c r="S717" s="298"/>
      <c r="T717" s="298"/>
      <c r="U717" s="298"/>
      <c r="V717" s="298"/>
      <c r="W717" s="298"/>
      <c r="X717" s="298"/>
      <c r="Z717" s="30"/>
    </row>
    <row r="718" spans="1:26" ht="16.149999999999999" customHeight="1" thickTop="1" thickBot="1" x14ac:dyDescent="0.25">
      <c r="C718" s="212"/>
      <c r="D718" s="212"/>
      <c r="E718" s="212"/>
      <c r="F718" s="212"/>
      <c r="G718" s="212"/>
      <c r="H718" s="218"/>
      <c r="I718" s="43"/>
      <c r="J718" s="244"/>
      <c r="K718" s="204"/>
      <c r="L718" s="29"/>
      <c r="O718" s="311"/>
      <c r="Q718" s="302" t="str">
        <f>IF(M694&lt;&gt;"Ναι","","Ο βαθμός διάσπασης του COCl2, μέχρι να αποκατασταθεί ΚΧΙ, θα είναι…
a=x/n=0,166666  άρα το ζητούμενο ποσοστό διάσπασης του COCl2, με προσέγγιση 
2ου δεκαδικού ψηφίου, θα είναι A=a·100=16,67%.")</f>
        <v/>
      </c>
      <c r="R718" s="302"/>
      <c r="S718" s="302"/>
      <c r="T718" s="302"/>
      <c r="U718" s="302"/>
      <c r="V718" s="302"/>
      <c r="W718" s="302"/>
      <c r="X718" s="302"/>
      <c r="Z718" s="30"/>
    </row>
    <row r="719" spans="1:26" ht="13.9" customHeight="1" thickTop="1" x14ac:dyDescent="0.2">
      <c r="I719" s="7"/>
      <c r="J719" s="125"/>
      <c r="K719" s="28"/>
      <c r="L719" s="29"/>
      <c r="Q719" s="302"/>
      <c r="R719" s="302"/>
      <c r="S719" s="302"/>
      <c r="T719" s="302"/>
      <c r="U719" s="302"/>
      <c r="V719" s="302"/>
      <c r="W719" s="302"/>
      <c r="X719" s="302"/>
      <c r="Z719" s="30"/>
    </row>
    <row r="720" spans="1:26" ht="13.9" customHeight="1" x14ac:dyDescent="0.2">
      <c r="A720" s="40"/>
      <c r="B720" s="40"/>
      <c r="C720" s="45" t="str">
        <f>IF(A697&lt;&gt;"G","",5)</f>
        <v/>
      </c>
      <c r="D720" s="45" t="str">
        <f>IF(A702&lt;&gt;"G","",15)</f>
        <v/>
      </c>
      <c r="E720" s="45" t="str">
        <f>IF(A706&lt;&gt;"G","",8)</f>
        <v/>
      </c>
      <c r="F720" s="45" t="str">
        <f>IF(A709&lt;&gt;"G","",6)</f>
        <v/>
      </c>
      <c r="G720" s="45" t="str">
        <f>IF(A712&lt;&gt;"G","",4)</f>
        <v/>
      </c>
      <c r="H720" s="45" t="str">
        <f>IF(A714&lt;&gt;"G","",6)</f>
        <v/>
      </c>
      <c r="I720" s="45" t="str">
        <f>IF(A717&lt;&gt;"G","",6)</f>
        <v/>
      </c>
      <c r="J720" s="28"/>
      <c r="K720" s="28"/>
      <c r="L720" s="29"/>
      <c r="Q720" s="302"/>
      <c r="R720" s="302"/>
      <c r="S720" s="302"/>
      <c r="T720" s="302"/>
      <c r="U720" s="302"/>
      <c r="V720" s="302"/>
      <c r="W720" s="302"/>
      <c r="X720" s="302"/>
      <c r="Z720" s="30"/>
    </row>
    <row r="721" spans="2:26" ht="13.9" customHeight="1" x14ac:dyDescent="0.2">
      <c r="I721" s="7"/>
      <c r="J721" s="32"/>
      <c r="K721" s="28"/>
      <c r="L721" s="29"/>
      <c r="Z721" s="30"/>
    </row>
    <row r="722" spans="2:26" ht="18" customHeight="1" x14ac:dyDescent="0.25">
      <c r="B722" s="35" t="s">
        <v>343</v>
      </c>
      <c r="C722" s="126"/>
      <c r="D722" s="34" t="s">
        <v>101</v>
      </c>
      <c r="E722" s="50" t="s">
        <v>368</v>
      </c>
      <c r="F722" s="95" t="s">
        <v>102</v>
      </c>
      <c r="G722" s="74" t="s">
        <v>351</v>
      </c>
      <c r="H722" s="91" t="s">
        <v>226</v>
      </c>
      <c r="I722" s="61"/>
      <c r="J722" s="32"/>
      <c r="K722" s="28"/>
      <c r="L722" s="29"/>
      <c r="Z722" s="30"/>
    </row>
    <row r="723" spans="2:26" ht="13.9" customHeight="1" thickBot="1" x14ac:dyDescent="0.25">
      <c r="I723" s="60"/>
      <c r="J723" s="32"/>
      <c r="K723" s="28"/>
      <c r="L723" s="29"/>
      <c r="Z723" s="30"/>
    </row>
    <row r="724" spans="2:26" ht="13.9" customHeight="1" thickTop="1" thickBot="1" x14ac:dyDescent="0.25">
      <c r="B724" s="62" t="s">
        <v>376</v>
      </c>
      <c r="C724" s="66" t="s">
        <v>369</v>
      </c>
      <c r="D724" s="64" t="s">
        <v>379</v>
      </c>
      <c r="E724" s="213" t="s">
        <v>368</v>
      </c>
      <c r="F724" s="65"/>
      <c r="G724" s="214" t="s">
        <v>351</v>
      </c>
      <c r="H724" s="65"/>
      <c r="I724" s="207"/>
      <c r="J724" s="32"/>
      <c r="K724" s="28"/>
      <c r="L724" s="29"/>
      <c r="Z724" s="30"/>
    </row>
    <row r="725" spans="2:26" ht="13.9" customHeight="1" thickTop="1" thickBot="1" x14ac:dyDescent="0.25">
      <c r="C725" s="66" t="s">
        <v>372</v>
      </c>
      <c r="D725" s="64" t="s">
        <v>385</v>
      </c>
      <c r="E725" s="213"/>
      <c r="F725" s="75"/>
      <c r="G725" s="214"/>
      <c r="H725" s="75"/>
      <c r="I725" s="207"/>
      <c r="J725" s="32"/>
      <c r="K725" s="28"/>
      <c r="L725" s="29"/>
      <c r="Z725" s="30"/>
    </row>
    <row r="726" spans="2:26" ht="13.9" customHeight="1" thickTop="1" thickBot="1" x14ac:dyDescent="0.25">
      <c r="C726" s="66" t="s">
        <v>370</v>
      </c>
      <c r="D726" s="72"/>
      <c r="E726" s="213"/>
      <c r="F726" s="146"/>
      <c r="G726" s="214"/>
      <c r="H726" s="146"/>
      <c r="I726" s="207"/>
      <c r="J726" s="32"/>
      <c r="K726" s="28"/>
      <c r="L726" s="29"/>
      <c r="Z726" s="30"/>
    </row>
    <row r="727" spans="2:26" ht="13.9" customHeight="1" thickTop="1" thickBot="1" x14ac:dyDescent="0.3">
      <c r="B727" s="62" t="s">
        <v>376</v>
      </c>
      <c r="C727" s="73" t="s">
        <v>371</v>
      </c>
      <c r="D727" s="146"/>
      <c r="E727" s="213"/>
      <c r="F727" s="146"/>
      <c r="G727" s="214"/>
      <c r="H727" s="146"/>
      <c r="I727" s="205" t="s">
        <v>122</v>
      </c>
      <c r="J727" s="206"/>
      <c r="K727" s="28"/>
      <c r="L727" s="29"/>
      <c r="Z727" s="30"/>
    </row>
    <row r="728" spans="2:26" ht="13.9" customHeight="1" thickTop="1" x14ac:dyDescent="0.2">
      <c r="I728" s="7"/>
      <c r="J728" s="32"/>
      <c r="K728" s="28"/>
      <c r="L728" s="29"/>
      <c r="Z728" s="30"/>
    </row>
    <row r="729" spans="2:26" ht="13.9" customHeight="1" x14ac:dyDescent="0.2">
      <c r="C729" s="238" t="s">
        <v>514</v>
      </c>
      <c r="D729" s="238"/>
      <c r="E729" s="238"/>
      <c r="F729" s="238"/>
      <c r="G729" s="238"/>
      <c r="H729" s="238"/>
      <c r="I729" s="7"/>
      <c r="J729" s="32"/>
      <c r="K729" s="28"/>
      <c r="L729" s="29"/>
      <c r="Z729" s="30"/>
    </row>
    <row r="730" spans="2:26" ht="13.9" customHeight="1" x14ac:dyDescent="0.2">
      <c r="C730" s="238"/>
      <c r="D730" s="238"/>
      <c r="E730" s="238"/>
      <c r="F730" s="238"/>
      <c r="G730" s="238"/>
      <c r="H730" s="238"/>
      <c r="I730" s="7"/>
      <c r="J730" s="32"/>
      <c r="K730" s="28"/>
      <c r="L730" s="29"/>
      <c r="Z730" s="30"/>
    </row>
    <row r="731" spans="2:26" ht="13.9" customHeight="1" x14ac:dyDescent="0.2">
      <c r="C731" s="238"/>
      <c r="D731" s="238"/>
      <c r="E731" s="238"/>
      <c r="F731" s="238"/>
      <c r="G731" s="238"/>
      <c r="H731" s="238"/>
      <c r="I731" s="7"/>
      <c r="J731" s="32"/>
      <c r="K731" s="28"/>
      <c r="L731" s="29"/>
      <c r="Z731" s="30"/>
    </row>
    <row r="732" spans="2:26" ht="13.9" customHeight="1" thickBot="1" x14ac:dyDescent="0.25">
      <c r="I732" s="7"/>
      <c r="J732" s="32"/>
      <c r="K732" s="28"/>
      <c r="L732" s="29"/>
      <c r="Z732" s="30"/>
    </row>
    <row r="733" spans="2:26" ht="16.149999999999999" customHeight="1" thickTop="1" x14ac:dyDescent="0.2">
      <c r="C733" s="239" t="s">
        <v>123</v>
      </c>
      <c r="D733" s="239"/>
      <c r="E733" s="239"/>
      <c r="F733" s="239"/>
      <c r="G733" s="239"/>
      <c r="H733" s="215"/>
      <c r="I733" s="43"/>
      <c r="J733" s="209" t="str">
        <f>IF(K733="","",IF(K733=25,O17,O24))</f>
        <v/>
      </c>
      <c r="K733" s="203" t="str">
        <f>IF(OR(H736="",I736=""),"",SUM(D735:E735))</f>
        <v/>
      </c>
      <c r="L733" s="29"/>
      <c r="O733" s="311">
        <v>25</v>
      </c>
      <c r="Z733" s="30"/>
    </row>
    <row r="734" spans="2:26" ht="16.149999999999999" customHeight="1" thickBot="1" x14ac:dyDescent="0.25">
      <c r="C734" s="240"/>
      <c r="D734" s="240"/>
      <c r="E734" s="240"/>
      <c r="F734" s="240"/>
      <c r="G734" s="240"/>
      <c r="H734" s="217"/>
      <c r="I734" s="43"/>
      <c r="J734" s="210"/>
      <c r="K734" s="204"/>
      <c r="L734" s="29"/>
      <c r="O734" s="311"/>
      <c r="Z734" s="30"/>
    </row>
    <row r="735" spans="2:26" ht="13.9" customHeight="1" thickTop="1" x14ac:dyDescent="0.2">
      <c r="D735" s="12" t="str">
        <f>IF(H736&lt;&gt;"G","",5)</f>
        <v/>
      </c>
      <c r="E735" s="12" t="str">
        <f>IF(I736&lt;&gt;"G","",20)</f>
        <v/>
      </c>
      <c r="I735" s="7"/>
      <c r="J735" s="32"/>
      <c r="K735" s="28"/>
      <c r="L735" s="29"/>
      <c r="Z735" s="30"/>
    </row>
    <row r="736" spans="2:26" ht="13.9" customHeight="1" x14ac:dyDescent="0.2">
      <c r="H736" s="12" t="str">
        <f>IF(OR(F726="",H726="",D727="",F727="",H727=""),"",IF(AND(F726="anmol",H726="anmol",OR(D727="(n-an)mol",D727="(n–an)mol",D727="n(1–a)mol",D727="n(1-a)mol"),F727="anmol",H727="anmol"),"G","R"))</f>
        <v/>
      </c>
      <c r="I736" s="15" t="str">
        <f>IF(OR(A942&lt;&gt;"Τουκμενίδης Μηνάς - 3ο ΓΕΛ Αμπελοκήπων, Θεσσαλονίκης",H733=""),"",IF(H733=0.4,"G","R"))</f>
        <v/>
      </c>
      <c r="J736" s="32"/>
      <c r="K736" s="28"/>
      <c r="L736" s="29"/>
      <c r="Z736" s="30"/>
    </row>
    <row r="737" spans="1:26" ht="13.9" customHeight="1" x14ac:dyDescent="0.2">
      <c r="A737" s="40"/>
      <c r="B737" s="40"/>
      <c r="C737" s="40"/>
      <c r="D737" s="40"/>
      <c r="E737" s="40"/>
      <c r="F737" s="40"/>
      <c r="G737" s="40"/>
      <c r="H737" s="40"/>
      <c r="I737" s="40"/>
      <c r="J737" s="28"/>
      <c r="K737" s="28"/>
      <c r="L737" s="29"/>
      <c r="Z737" s="30"/>
    </row>
    <row r="738" spans="1:26" ht="13.9" customHeight="1" x14ac:dyDescent="0.2">
      <c r="I738" s="7"/>
      <c r="J738" s="32"/>
      <c r="K738" s="28"/>
      <c r="L738" s="29"/>
      <c r="Z738" s="30"/>
    </row>
    <row r="739" spans="1:26" ht="18" customHeight="1" x14ac:dyDescent="0.25">
      <c r="B739" s="35" t="s">
        <v>364</v>
      </c>
      <c r="C739" s="127"/>
      <c r="D739" s="55" t="s">
        <v>277</v>
      </c>
      <c r="E739" s="50" t="s">
        <v>368</v>
      </c>
      <c r="F739" s="95" t="s">
        <v>309</v>
      </c>
      <c r="G739" s="74" t="s">
        <v>351</v>
      </c>
      <c r="H739" s="91" t="s">
        <v>310</v>
      </c>
      <c r="I739" s="84"/>
      <c r="J739" s="32"/>
      <c r="K739" s="28"/>
      <c r="L739" s="29"/>
      <c r="Z739" s="30"/>
    </row>
    <row r="740" spans="1:26" ht="13.9" customHeight="1" thickBot="1" x14ac:dyDescent="0.25">
      <c r="I740" s="60"/>
      <c r="J740" s="32"/>
      <c r="K740" s="28"/>
      <c r="L740" s="29"/>
      <c r="Z740" s="30"/>
    </row>
    <row r="741" spans="1:26" ht="13.9" customHeight="1" thickTop="1" thickBot="1" x14ac:dyDescent="0.25">
      <c r="B741" s="62" t="s">
        <v>376</v>
      </c>
      <c r="C741" s="66" t="s">
        <v>383</v>
      </c>
      <c r="D741" s="128" t="s">
        <v>379</v>
      </c>
      <c r="E741" s="213" t="s">
        <v>368</v>
      </c>
      <c r="F741" s="65"/>
      <c r="G741" s="214" t="s">
        <v>351</v>
      </c>
      <c r="H741" s="65"/>
      <c r="I741" s="7"/>
      <c r="J741" s="32"/>
      <c r="K741" s="28"/>
      <c r="L741" s="29"/>
      <c r="Z741" s="30"/>
    </row>
    <row r="742" spans="1:26" ht="13.9" customHeight="1" thickTop="1" thickBot="1" x14ac:dyDescent="0.25">
      <c r="C742" s="66" t="s">
        <v>372</v>
      </c>
      <c r="D742" s="128" t="s">
        <v>385</v>
      </c>
      <c r="E742" s="213"/>
      <c r="F742" s="75"/>
      <c r="G742" s="214"/>
      <c r="H742" s="75"/>
      <c r="I742" s="7"/>
      <c r="J742" s="32"/>
      <c r="K742" s="28"/>
      <c r="L742" s="29"/>
      <c r="Z742" s="30"/>
    </row>
    <row r="743" spans="1:26" ht="13.9" customHeight="1" thickTop="1" thickBot="1" x14ac:dyDescent="0.25">
      <c r="C743" s="66" t="s">
        <v>370</v>
      </c>
      <c r="D743" s="129"/>
      <c r="E743" s="213"/>
      <c r="F743" s="130" t="s">
        <v>458</v>
      </c>
      <c r="G743" s="214"/>
      <c r="H743" s="130" t="s">
        <v>458</v>
      </c>
      <c r="I743" s="7"/>
      <c r="J743" s="32"/>
      <c r="K743" s="28"/>
      <c r="L743" s="29"/>
      <c r="Z743" s="30"/>
    </row>
    <row r="744" spans="1:26" ht="13.9" customHeight="1" thickTop="1" thickBot="1" x14ac:dyDescent="0.3">
      <c r="B744" s="62" t="s">
        <v>376</v>
      </c>
      <c r="C744" s="73" t="s">
        <v>371</v>
      </c>
      <c r="D744" s="130" t="s">
        <v>386</v>
      </c>
      <c r="E744" s="213"/>
      <c r="F744" s="130" t="s">
        <v>458</v>
      </c>
      <c r="G744" s="214"/>
      <c r="H744" s="130" t="s">
        <v>458</v>
      </c>
      <c r="I744" s="376" t="s">
        <v>130</v>
      </c>
      <c r="J744" s="377"/>
      <c r="K744" s="28"/>
      <c r="L744" s="29"/>
      <c r="Z744" s="30"/>
    </row>
    <row r="745" spans="1:26" ht="13.9" customHeight="1" thickTop="1" x14ac:dyDescent="0.2">
      <c r="I745" s="7"/>
      <c r="J745" s="32"/>
      <c r="K745" s="28"/>
      <c r="L745" s="29"/>
      <c r="Z745" s="30"/>
    </row>
    <row r="746" spans="1:26" ht="13.9" customHeight="1" x14ac:dyDescent="0.2">
      <c r="B746" s="94" t="s">
        <v>456</v>
      </c>
      <c r="C746" s="238" t="s">
        <v>131</v>
      </c>
      <c r="D746" s="238"/>
      <c r="E746" s="238"/>
      <c r="F746" s="238"/>
      <c r="G746" s="238"/>
      <c r="H746" s="238"/>
      <c r="I746" s="7"/>
      <c r="J746" s="32"/>
      <c r="K746" s="28"/>
      <c r="L746" s="29"/>
      <c r="Z746" s="30"/>
    </row>
    <row r="747" spans="1:26" ht="13.9" customHeight="1" x14ac:dyDescent="0.2">
      <c r="C747" s="238"/>
      <c r="D747" s="238"/>
      <c r="E747" s="238"/>
      <c r="F747" s="238"/>
      <c r="G747" s="238"/>
      <c r="H747" s="238"/>
      <c r="I747" s="7"/>
      <c r="J747" s="32"/>
      <c r="K747" s="28"/>
      <c r="L747" s="29"/>
      <c r="Z747" s="30"/>
    </row>
    <row r="748" spans="1:26" ht="13.9" customHeight="1" thickBot="1" x14ac:dyDescent="0.25">
      <c r="I748" s="7"/>
      <c r="J748" s="32"/>
      <c r="K748" s="28"/>
      <c r="L748" s="29"/>
      <c r="Z748" s="30"/>
    </row>
    <row r="749" spans="1:26" ht="16.149999999999999" customHeight="1" thickTop="1" thickBot="1" x14ac:dyDescent="0.25">
      <c r="A749" s="12"/>
      <c r="B749" s="12" t="str">
        <f>IF(H749="","",IF(H749=0.8,"G","R"))</f>
        <v/>
      </c>
      <c r="C749" s="229" t="s">
        <v>132</v>
      </c>
      <c r="D749" s="229"/>
      <c r="E749" s="229"/>
      <c r="F749" s="229"/>
      <c r="G749" s="229"/>
      <c r="H749" s="231"/>
      <c r="I749" s="7"/>
      <c r="J749" s="32"/>
      <c r="K749" s="28"/>
      <c r="L749" s="29"/>
      <c r="Z749" s="30"/>
    </row>
    <row r="750" spans="1:26" ht="16.149999999999999" customHeight="1" thickTop="1" thickBot="1" x14ac:dyDescent="0.25">
      <c r="C750" s="229"/>
      <c r="D750" s="229"/>
      <c r="E750" s="229"/>
      <c r="F750" s="229"/>
      <c r="G750" s="229"/>
      <c r="H750" s="231"/>
      <c r="I750" s="7"/>
      <c r="J750" s="32"/>
      <c r="K750" s="28"/>
      <c r="L750" s="29"/>
      <c r="Z750" s="30"/>
    </row>
    <row r="751" spans="1:26" ht="13.9" customHeight="1" thickTop="1" thickBot="1" x14ac:dyDescent="0.25">
      <c r="A751" s="25"/>
      <c r="I751" s="7"/>
      <c r="J751" s="32"/>
      <c r="K751" s="28"/>
      <c r="L751" s="29"/>
      <c r="Z751" s="30"/>
    </row>
    <row r="752" spans="1:26" ht="16.149999999999999" customHeight="1" thickTop="1" thickBot="1" x14ac:dyDescent="0.25">
      <c r="B752" s="12" t="str">
        <f>IF(H752="","",IF(H752="2atm","G","R"))</f>
        <v/>
      </c>
      <c r="C752" s="212" t="s">
        <v>128</v>
      </c>
      <c r="D752" s="212"/>
      <c r="E752" s="212"/>
      <c r="F752" s="212"/>
      <c r="G752" s="212"/>
      <c r="H752" s="146"/>
      <c r="I752" s="7"/>
      <c r="J752" s="32"/>
      <c r="K752" s="28"/>
      <c r="L752" s="29"/>
      <c r="Z752" s="30"/>
    </row>
    <row r="753" spans="1:26" ht="13.9" customHeight="1" thickTop="1" x14ac:dyDescent="0.2">
      <c r="I753" s="7"/>
      <c r="J753" s="32"/>
      <c r="K753" s="28"/>
      <c r="L753" s="29"/>
      <c r="Z753" s="30"/>
    </row>
    <row r="754" spans="1:26" ht="13.9" customHeight="1" x14ac:dyDescent="0.2">
      <c r="B754" s="94" t="s">
        <v>456</v>
      </c>
      <c r="C754" s="238" t="s">
        <v>133</v>
      </c>
      <c r="D754" s="238"/>
      <c r="E754" s="238"/>
      <c r="F754" s="238"/>
      <c r="G754" s="238"/>
      <c r="H754" s="238"/>
      <c r="I754" s="7"/>
      <c r="J754" s="32"/>
      <c r="K754" s="28"/>
      <c r="L754" s="29"/>
      <c r="Z754" s="30"/>
    </row>
    <row r="755" spans="1:26" ht="13.9" customHeight="1" x14ac:dyDescent="0.2">
      <c r="C755" s="238"/>
      <c r="D755" s="238"/>
      <c r="E755" s="238"/>
      <c r="F755" s="238"/>
      <c r="G755" s="238"/>
      <c r="H755" s="238"/>
      <c r="I755" s="7"/>
      <c r="J755" s="32"/>
      <c r="K755" s="28"/>
      <c r="L755" s="29"/>
      <c r="Z755" s="30"/>
    </row>
    <row r="756" spans="1:26" ht="13.9" customHeight="1" thickBot="1" x14ac:dyDescent="0.25">
      <c r="I756" s="7"/>
      <c r="J756" s="32"/>
      <c r="K756" s="28"/>
      <c r="L756" s="29"/>
      <c r="Z756" s="30"/>
    </row>
    <row r="757" spans="1:26" ht="13.9" customHeight="1" thickTop="1" thickBot="1" x14ac:dyDescent="0.25">
      <c r="B757" s="25" t="str">
        <f>IF(OR(I757="",I758="",I759=""),"",IF(AND(I757="Λ",I758="Λ",I759="Σ"),"G","R"))</f>
        <v/>
      </c>
      <c r="C757" s="229" t="s">
        <v>134</v>
      </c>
      <c r="D757" s="229"/>
      <c r="E757" s="229"/>
      <c r="F757" s="229"/>
      <c r="G757" s="229"/>
      <c r="H757" s="132" t="s">
        <v>483</v>
      </c>
      <c r="I757" s="181"/>
      <c r="J757" s="32"/>
      <c r="K757" s="28"/>
      <c r="L757" s="29"/>
      <c r="Z757" s="30"/>
    </row>
    <row r="758" spans="1:26" ht="13.9" customHeight="1" thickTop="1" thickBot="1" x14ac:dyDescent="0.25">
      <c r="C758" s="229"/>
      <c r="D758" s="229"/>
      <c r="E758" s="229"/>
      <c r="F758" s="229"/>
      <c r="G758" s="229"/>
      <c r="H758" s="132" t="s">
        <v>482</v>
      </c>
      <c r="I758" s="181"/>
      <c r="J758" s="32"/>
      <c r="K758" s="28"/>
      <c r="L758" s="29"/>
      <c r="Z758" s="30"/>
    </row>
    <row r="759" spans="1:26" ht="13.9" customHeight="1" thickTop="1" thickBot="1" x14ac:dyDescent="0.25">
      <c r="C759" s="229"/>
      <c r="D759" s="229"/>
      <c r="E759" s="229"/>
      <c r="F759" s="229"/>
      <c r="G759" s="229"/>
      <c r="H759" s="132" t="s">
        <v>459</v>
      </c>
      <c r="I759" s="181"/>
      <c r="J759" s="32"/>
      <c r="K759" s="28"/>
      <c r="L759" s="29"/>
      <c r="Z759" s="30"/>
    </row>
    <row r="760" spans="1:26" ht="13.9" customHeight="1" thickTop="1" thickBot="1" x14ac:dyDescent="0.25">
      <c r="C760" s="25" t="str">
        <f>IF(B749&lt;&gt;"G","",10)</f>
        <v/>
      </c>
      <c r="D760" s="25" t="str">
        <f>IF(B752&lt;&gt;"G","",6)</f>
        <v/>
      </c>
      <c r="E760" s="25" t="str">
        <f>IF(B757&lt;&gt;"G","",9)</f>
        <v/>
      </c>
      <c r="F760" s="25" t="str">
        <f>IF(B761&lt;&gt;"G","",10)</f>
        <v/>
      </c>
      <c r="I760" s="7"/>
      <c r="J760" s="32"/>
      <c r="K760" s="28"/>
      <c r="L760" s="29"/>
      <c r="Z760" s="30"/>
    </row>
    <row r="761" spans="1:26" ht="16.149999999999999" customHeight="1" thickTop="1" thickBot="1" x14ac:dyDescent="0.25">
      <c r="B761" s="25" t="str">
        <f>IF(H761="","",IF(H761="2atm","G","R"))</f>
        <v/>
      </c>
      <c r="C761" s="229" t="s">
        <v>135</v>
      </c>
      <c r="D761" s="229"/>
      <c r="E761" s="229"/>
      <c r="F761" s="229"/>
      <c r="G761" s="229"/>
      <c r="H761" s="218"/>
      <c r="I761" s="43"/>
      <c r="J761" s="209" t="str">
        <f>IF(K761="","",IF(K761=35,O17,O24))</f>
        <v/>
      </c>
      <c r="K761" s="203" t="str">
        <f>IF(OR(B749="",B752="",B757="",B761=""),"",SUM(C760:F760))</f>
        <v/>
      </c>
      <c r="L761" s="29"/>
      <c r="O761" s="311">
        <v>35</v>
      </c>
      <c r="Z761" s="30"/>
    </row>
    <row r="762" spans="1:26" ht="16.149999999999999" customHeight="1" thickTop="1" thickBot="1" x14ac:dyDescent="0.25">
      <c r="C762" s="229"/>
      <c r="D762" s="229"/>
      <c r="E762" s="229"/>
      <c r="F762" s="229"/>
      <c r="G762" s="229"/>
      <c r="H762" s="218"/>
      <c r="I762" s="43"/>
      <c r="J762" s="210"/>
      <c r="K762" s="204"/>
      <c r="L762" s="29"/>
      <c r="O762" s="311"/>
      <c r="Z762" s="30"/>
    </row>
    <row r="763" spans="1:26" ht="13.9" customHeight="1" thickTop="1" x14ac:dyDescent="0.2">
      <c r="I763" s="7"/>
      <c r="J763" s="32"/>
      <c r="K763" s="28"/>
      <c r="L763" s="29"/>
      <c r="Z763" s="30"/>
    </row>
    <row r="764" spans="1:26" ht="13.9" customHeight="1" x14ac:dyDescent="0.2">
      <c r="A764" s="40"/>
      <c r="B764" s="40"/>
      <c r="C764" s="40"/>
      <c r="D764" s="40"/>
      <c r="E764" s="40"/>
      <c r="F764" s="40"/>
      <c r="G764" s="40"/>
      <c r="H764" s="40"/>
      <c r="I764" s="40"/>
      <c r="J764" s="28"/>
      <c r="K764" s="28"/>
      <c r="L764" s="29"/>
      <c r="Z764" s="30"/>
    </row>
    <row r="765" spans="1:26" ht="13.9" customHeight="1" thickBot="1" x14ac:dyDescent="0.25">
      <c r="I765" s="7"/>
      <c r="J765" s="32"/>
      <c r="K765" s="28"/>
      <c r="L765" s="29"/>
      <c r="Z765" s="30"/>
    </row>
    <row r="766" spans="1:26" ht="13.9" customHeight="1" thickBot="1" x14ac:dyDescent="0.25">
      <c r="A766" s="33" t="s">
        <v>460</v>
      </c>
      <c r="B766" s="230" t="s">
        <v>41</v>
      </c>
      <c r="C766" s="230"/>
      <c r="D766" s="230"/>
      <c r="E766" s="230"/>
      <c r="F766" s="230"/>
      <c r="G766" s="230"/>
      <c r="H766" s="230"/>
      <c r="I766" s="230"/>
      <c r="J766" s="32"/>
      <c r="K766" s="28"/>
      <c r="L766" s="29"/>
      <c r="M766" s="232" t="s">
        <v>194</v>
      </c>
      <c r="N766" s="233"/>
      <c r="Z766" s="30"/>
    </row>
    <row r="767" spans="1:26" ht="13.9" customHeight="1" thickBot="1" x14ac:dyDescent="0.25">
      <c r="B767" s="7"/>
      <c r="C767" s="7"/>
      <c r="D767" s="7"/>
      <c r="E767" s="7"/>
      <c r="F767" s="7"/>
      <c r="G767" s="7"/>
      <c r="H767" s="7"/>
      <c r="I767" s="7"/>
      <c r="J767" s="32"/>
      <c r="K767" s="28"/>
      <c r="L767" s="29"/>
      <c r="M767" s="232"/>
      <c r="N767" s="233"/>
      <c r="Z767" s="30"/>
    </row>
    <row r="768" spans="1:26" ht="18" customHeight="1" thickBot="1" x14ac:dyDescent="0.25">
      <c r="B768" s="35" t="s">
        <v>340</v>
      </c>
      <c r="C768" s="59" t="s">
        <v>86</v>
      </c>
      <c r="D768" s="69" t="s">
        <v>351</v>
      </c>
      <c r="E768" s="120" t="s">
        <v>309</v>
      </c>
      <c r="F768" s="50" t="s">
        <v>368</v>
      </c>
      <c r="G768" s="120" t="s">
        <v>230</v>
      </c>
      <c r="H768" s="69" t="s">
        <v>351</v>
      </c>
      <c r="I768" s="120" t="s">
        <v>100</v>
      </c>
      <c r="J768" s="32"/>
      <c r="K768" s="28"/>
      <c r="L768" s="29"/>
      <c r="M768" s="227" t="s">
        <v>530</v>
      </c>
      <c r="N768" s="228"/>
      <c r="P768" s="295" t="str">
        <f>IF(M768="Ναι","→","")</f>
        <v>→</v>
      </c>
      <c r="Q768" s="296" t="str">
        <f>IF(M768&lt;&gt;"Ναι","","Λύση του προβλήματος 11α.")</f>
        <v>Λύση του προβλήματος 11α.</v>
      </c>
      <c r="R768" s="296"/>
      <c r="S768" s="296"/>
      <c r="Z768" s="30"/>
    </row>
    <row r="769" spans="1:26" ht="13.9" customHeight="1" thickBot="1" x14ac:dyDescent="0.25">
      <c r="I769" s="7"/>
      <c r="J769" s="32"/>
      <c r="K769" s="28"/>
      <c r="L769" s="29"/>
      <c r="M769" s="227"/>
      <c r="N769" s="228"/>
      <c r="P769" s="295"/>
      <c r="Q769" s="235" t="str">
        <f>IF(M768&lt;&gt;"Ναι","","Υπολογίζουμε το πηλίκο της αντίδρασης Qc για την αρχική κατάσταση.
Είναι Qc=[CO]·[H2O]/{[CO2]·[H2]}=0,3·0,5/(0,3·0,7)=5/7&gt;Kc=¼.")</f>
        <v>Υπολογίζουμε το πηλίκο της αντίδρασης Qc για την αρχική κατάσταση.
Είναι Qc=[CO]·[H2O]/{[CO2]·[H2]}=0,3·0,5/(0,3·0,7)=5/7&gt;Kc=¼.</v>
      </c>
      <c r="R769" s="235"/>
      <c r="S769" s="235"/>
      <c r="T769" s="235"/>
      <c r="U769" s="235"/>
      <c r="V769" s="235"/>
      <c r="W769" s="235"/>
      <c r="X769" s="235"/>
      <c r="Z769" s="30"/>
    </row>
    <row r="770" spans="1:26" ht="13.9" customHeight="1" thickTop="1" thickBot="1" x14ac:dyDescent="0.25">
      <c r="A770" s="62" t="s">
        <v>376</v>
      </c>
      <c r="B770" s="66" t="s">
        <v>369</v>
      </c>
      <c r="C770" s="133" t="s">
        <v>461</v>
      </c>
      <c r="D770" s="358" t="s">
        <v>351</v>
      </c>
      <c r="E770" s="133" t="s">
        <v>353</v>
      </c>
      <c r="F770" s="248" t="s">
        <v>368</v>
      </c>
      <c r="G770" s="133" t="s">
        <v>353</v>
      </c>
      <c r="H770" s="358" t="s">
        <v>351</v>
      </c>
      <c r="I770" s="131" t="s">
        <v>361</v>
      </c>
      <c r="J770" s="32"/>
      <c r="K770" s="28"/>
      <c r="L770" s="29"/>
      <c r="Q770" s="235"/>
      <c r="R770" s="235"/>
      <c r="S770" s="235"/>
      <c r="T770" s="235"/>
      <c r="U770" s="235"/>
      <c r="V770" s="235"/>
      <c r="W770" s="235"/>
      <c r="X770" s="235"/>
      <c r="Z770" s="30"/>
    </row>
    <row r="771" spans="1:26" ht="13.9" customHeight="1" thickTop="1" thickBot="1" x14ac:dyDescent="0.25">
      <c r="A771" s="99" t="s">
        <v>457</v>
      </c>
      <c r="B771" s="66" t="s">
        <v>372</v>
      </c>
      <c r="C771" s="146"/>
      <c r="D771" s="358"/>
      <c r="E771" s="146"/>
      <c r="F771" s="248"/>
      <c r="G771" s="146"/>
      <c r="H771" s="358"/>
      <c r="I771" s="179"/>
      <c r="J771" s="32"/>
      <c r="K771" s="28"/>
      <c r="L771" s="29"/>
      <c r="Q771" s="235"/>
      <c r="R771" s="235"/>
      <c r="S771" s="235"/>
      <c r="T771" s="235"/>
      <c r="U771" s="235"/>
      <c r="V771" s="235"/>
      <c r="W771" s="235"/>
      <c r="X771" s="235"/>
      <c r="Z771" s="30"/>
    </row>
    <row r="772" spans="1:26" ht="13.9" customHeight="1" thickTop="1" thickBot="1" x14ac:dyDescent="0.25">
      <c r="B772" s="66" t="s">
        <v>370</v>
      </c>
      <c r="C772" s="146"/>
      <c r="D772" s="358"/>
      <c r="E772" s="146"/>
      <c r="F772" s="248"/>
      <c r="G772" s="146"/>
      <c r="H772" s="358"/>
      <c r="I772" s="179"/>
      <c r="J772" s="32"/>
      <c r="K772" s="28"/>
      <c r="L772" s="29"/>
      <c r="Q772" s="264" t="str">
        <f>IF(M768&lt;&gt;"Ναι","","Επομένως η αντίδραση αρχικά γίνεται ταχύτερα προς τα αριστερά, δηλαδή προς την κατεύθυνση που είναι εξώθερμη, άρα το ποσό θερμότητας των 4,2kJ εκλύθηκε στο περιβάλλον.")</f>
        <v>Επομένως η αντίδραση αρχικά γίνεται ταχύτερα προς τα αριστερά, δηλαδή προς την κατεύθυνση που είναι εξώθερμη, άρα το ποσό θερμότητας των 4,2kJ εκλύθηκε στο περιβάλλον.</v>
      </c>
      <c r="R772" s="264"/>
      <c r="S772" s="264"/>
      <c r="T772" s="264"/>
      <c r="U772" s="264"/>
      <c r="V772" s="264"/>
      <c r="W772" s="264"/>
      <c r="X772" s="264"/>
      <c r="Z772" s="30"/>
    </row>
    <row r="773" spans="1:26" ht="13.9" customHeight="1" thickTop="1" thickBot="1" x14ac:dyDescent="0.25">
      <c r="A773" s="62" t="s">
        <v>376</v>
      </c>
      <c r="B773" s="96" t="s">
        <v>399</v>
      </c>
      <c r="C773" s="182"/>
      <c r="D773" s="358"/>
      <c r="E773" s="182"/>
      <c r="F773" s="248"/>
      <c r="G773" s="182"/>
      <c r="H773" s="358"/>
      <c r="I773" s="183"/>
      <c r="J773" s="32"/>
      <c r="K773" s="28"/>
      <c r="L773" s="29"/>
      <c r="Q773" s="264"/>
      <c r="R773" s="264"/>
      <c r="S773" s="264"/>
      <c r="T773" s="264"/>
      <c r="U773" s="264"/>
      <c r="V773" s="264"/>
      <c r="W773" s="264"/>
      <c r="X773" s="264"/>
      <c r="Z773" s="30"/>
    </row>
    <row r="774" spans="1:26" ht="13.9" customHeight="1" thickTop="1" x14ac:dyDescent="0.2">
      <c r="I774" s="7"/>
      <c r="J774" s="32"/>
      <c r="K774" s="28"/>
      <c r="L774" s="29"/>
      <c r="Q774" s="264"/>
      <c r="R774" s="264"/>
      <c r="S774" s="264"/>
      <c r="T774" s="264"/>
      <c r="U774" s="264"/>
      <c r="V774" s="264"/>
      <c r="W774" s="264"/>
      <c r="X774" s="264"/>
      <c r="Z774" s="30"/>
    </row>
    <row r="775" spans="1:26" ht="13.9" customHeight="1" x14ac:dyDescent="0.2">
      <c r="A775" s="514" t="str">
        <f>IF(B775&lt;&gt;"G","",12)</f>
        <v/>
      </c>
      <c r="B775" s="514" t="str">
        <f>IF(AND(C771="",C772="",C773="",E771="",E772="",E773="",G771="",G772="",G773="",I771="",I772="",I773=""),"",IF(AND(C771="",C772="xmol",OR(C773="(0,7+x)mol",C773="(x+0,7)mol"),E771="",E772="xmol",OR(E773="(0,3+x)mol",E773="(x+0,3)mol"),G771="xmol",G772="",OR(G773="(0,3-x)mol",G773="(0,3–x)mol"),I771="xmol",I772="",OR(I773="(0,5-x)mol",I773="(0,5–x)mol")),"G","R"))</f>
        <v/>
      </c>
      <c r="C775" s="226" t="s">
        <v>529</v>
      </c>
      <c r="D775" s="226"/>
      <c r="E775" s="226"/>
      <c r="F775" s="226"/>
      <c r="G775" s="226"/>
      <c r="H775" s="226"/>
      <c r="I775" s="7"/>
      <c r="J775" s="32"/>
      <c r="K775" s="28"/>
      <c r="L775" s="29"/>
      <c r="Q775" s="264" t="str">
        <f>IF(M768&lt;&gt;"Ναι","","Προφανώς η κατάστρωση θα πρέπει να γίνει όπως φαίνεται παρακάτω.")</f>
        <v>Προφανώς η κατάστρωση θα πρέπει να γίνει όπως φαίνεται παρακάτω.</v>
      </c>
      <c r="R775" s="264"/>
      <c r="S775" s="264"/>
      <c r="T775" s="264"/>
      <c r="U775" s="264"/>
      <c r="V775" s="264"/>
      <c r="W775" s="264"/>
      <c r="X775" s="264"/>
      <c r="Z775" s="30"/>
    </row>
    <row r="776" spans="1:26" ht="13.9" customHeight="1" x14ac:dyDescent="0.2">
      <c r="C776" s="226"/>
      <c r="D776" s="226"/>
      <c r="E776" s="226"/>
      <c r="F776" s="226"/>
      <c r="G776" s="226"/>
      <c r="H776" s="226"/>
      <c r="I776" s="7"/>
      <c r="J776" s="32"/>
      <c r="K776" s="28"/>
      <c r="L776" s="29"/>
      <c r="Z776" s="30"/>
    </row>
    <row r="777" spans="1:26" ht="13.9" customHeight="1" x14ac:dyDescent="0.2">
      <c r="C777" s="226"/>
      <c r="D777" s="226"/>
      <c r="E777" s="226"/>
      <c r="F777" s="226"/>
      <c r="G777" s="226"/>
      <c r="H777" s="226"/>
      <c r="I777" s="7"/>
      <c r="J777" s="32"/>
      <c r="K777" s="28"/>
      <c r="L777" s="29"/>
      <c r="R777" s="21" t="str">
        <f>IF(M$768&lt;&gt;"Ναι","","CO2(g)")</f>
        <v>CO2(g)</v>
      </c>
      <c r="S777" s="17" t="str">
        <f>IF(M$768&lt;&gt;"Ναι","","+")</f>
        <v>+</v>
      </c>
      <c r="T777" s="21" t="str">
        <f>IF(M$768&lt;&gt;"Ναι","","H2(g)")</f>
        <v>H2(g)</v>
      </c>
      <c r="U777" s="16" t="str">
        <f>IF(M$768&lt;&gt;"Ναι","","D")</f>
        <v>D</v>
      </c>
      <c r="V777" s="21" t="str">
        <f>IF(M$768&lt;&gt;"Ναι","","CO(g)")</f>
        <v>CO(g)</v>
      </c>
      <c r="W777" s="17" t="str">
        <f>IF(M$768&lt;&gt;"Ναι","","+")</f>
        <v>+</v>
      </c>
      <c r="X777" s="21" t="str">
        <f>IF(M$768&lt;&gt;"Ναι","","H2O(g)")</f>
        <v>H2O(g)</v>
      </c>
      <c r="Z777" s="30"/>
    </row>
    <row r="778" spans="1:26" ht="13.9" customHeight="1" x14ac:dyDescent="0.2">
      <c r="C778" s="226"/>
      <c r="D778" s="226"/>
      <c r="E778" s="226"/>
      <c r="F778" s="226"/>
      <c r="G778" s="226"/>
      <c r="H778" s="226"/>
      <c r="I778" s="7"/>
      <c r="J778" s="32"/>
      <c r="K778" s="28"/>
      <c r="L778" s="29"/>
      <c r="Q778" s="159" t="str">
        <f>IF(M768&lt;&gt;"Ναι","","αρχικά")</f>
        <v>αρχικά</v>
      </c>
      <c r="R778" s="22" t="str">
        <f>IF(M$768&lt;&gt;"Ναι","","0,7mol")</f>
        <v>0,7mol</v>
      </c>
      <c r="S778" s="310" t="str">
        <f>IF(M768&lt;&gt;"Ναι","","+")</f>
        <v>+</v>
      </c>
      <c r="T778" s="22" t="str">
        <f>IF(M$768&lt;&gt;"Ναι","","0,3mol")</f>
        <v>0,3mol</v>
      </c>
      <c r="U778" s="289" t="str">
        <f>IF(M768&lt;&gt;"Ναι","","D")</f>
        <v>D</v>
      </c>
      <c r="V778" s="22" t="str">
        <f>IF(M$768&lt;&gt;"Ναι","","0,3mol")</f>
        <v>0,3mol</v>
      </c>
      <c r="W778" s="310" t="str">
        <f>IF(M768&lt;&gt;"Ναι","","+")</f>
        <v>+</v>
      </c>
      <c r="X778" s="22" t="str">
        <f>IF(M$768&lt;&gt;"Ναι","","0,5mol")</f>
        <v>0,5mol</v>
      </c>
      <c r="Z778" s="30"/>
    </row>
    <row r="779" spans="1:26" ht="13.9" customHeight="1" x14ac:dyDescent="0.2">
      <c r="C779" s="226"/>
      <c r="D779" s="226"/>
      <c r="E779" s="226"/>
      <c r="F779" s="226"/>
      <c r="G779" s="226"/>
      <c r="H779" s="226"/>
      <c r="I779" s="7"/>
      <c r="J779" s="32"/>
      <c r="K779" s="28"/>
      <c r="L779" s="29"/>
      <c r="Q779" s="159" t="str">
        <f>IF(M768&lt;&gt;"Ναι","","αντέδρασαν")</f>
        <v>αντέδρασαν</v>
      </c>
      <c r="R779" s="8"/>
      <c r="S779" s="310"/>
      <c r="T779" s="8"/>
      <c r="U779" s="289"/>
      <c r="V779" s="22" t="str">
        <f>IF(M$768&lt;&gt;"Ναι","","xmol")</f>
        <v>xmol</v>
      </c>
      <c r="W779" s="310"/>
      <c r="X779" s="22" t="str">
        <f>IF(M$768&lt;&gt;"Ναι","","xmol")</f>
        <v>xmol</v>
      </c>
      <c r="Z779" s="30"/>
    </row>
    <row r="780" spans="1:26" ht="16.149999999999999" customHeight="1" x14ac:dyDescent="0.2">
      <c r="C780" s="226"/>
      <c r="D780" s="226"/>
      <c r="E780" s="226"/>
      <c r="F780" s="226"/>
      <c r="G780" s="226"/>
      <c r="H780" s="226"/>
      <c r="I780" s="7"/>
      <c r="J780" s="32"/>
      <c r="K780" s="28"/>
      <c r="L780" s="29"/>
      <c r="Q780" s="159" t="str">
        <f>IF(M768&lt;&gt;"Ναι","","παρ/θηκαν")</f>
        <v>παρ/θηκαν</v>
      </c>
      <c r="R780" s="22" t="str">
        <f>IF(M$768&lt;&gt;"Ναι","","xmol")</f>
        <v>xmol</v>
      </c>
      <c r="S780" s="310"/>
      <c r="T780" s="22" t="str">
        <f>IF(M$768&lt;&gt;"Ναι","","xmol")</f>
        <v>xmol</v>
      </c>
      <c r="U780" s="289"/>
      <c r="V780" s="8"/>
      <c r="W780" s="310"/>
      <c r="X780" s="8"/>
      <c r="Z780" s="30"/>
    </row>
    <row r="781" spans="1:26" ht="13.9" customHeight="1" x14ac:dyDescent="0.2">
      <c r="I781" s="7"/>
      <c r="J781" s="32"/>
      <c r="K781" s="28"/>
      <c r="L781" s="29"/>
      <c r="Q781" s="156" t="str">
        <f>IF(M768&lt;&gt;"Ναι","","τελ. ΚΧΙ")</f>
        <v>τελ. ΚΧΙ</v>
      </c>
      <c r="R781" s="161" t="str">
        <f>IF(M$768&lt;&gt;"Ναι","","(0,7+x)mol")</f>
        <v>(0,7+x)mol</v>
      </c>
      <c r="S781" s="310"/>
      <c r="T781" s="161" t="str">
        <f>IF(M$768&lt;&gt;"Ναι","","(0,3+x)mol")</f>
        <v>(0,3+x)mol</v>
      </c>
      <c r="U781" s="289"/>
      <c r="V781" s="161" t="str">
        <f>IF(M$768&lt;&gt;"Ναι","","(0,3-x)mol")</f>
        <v>(0,3-x)mol</v>
      </c>
      <c r="W781" s="310"/>
      <c r="X781" s="161" t="str">
        <f>IF(M$768&lt;&gt;"Ναι","","(0,5-x)mol")</f>
        <v>(0,5-x)mol</v>
      </c>
      <c r="Z781" s="30"/>
    </row>
    <row r="782" spans="1:26" ht="13.9" customHeight="1" x14ac:dyDescent="0.2">
      <c r="B782" s="99" t="s">
        <v>457</v>
      </c>
      <c r="C782" s="264" t="s">
        <v>136</v>
      </c>
      <c r="D782" s="264"/>
      <c r="E782" s="264"/>
      <c r="F782" s="264"/>
      <c r="G782" s="264"/>
      <c r="H782" s="264"/>
      <c r="J782" s="32"/>
      <c r="K782" s="28"/>
      <c r="L782" s="29"/>
      <c r="Z782" s="30"/>
    </row>
    <row r="783" spans="1:26" ht="13.9" customHeight="1" x14ac:dyDescent="0.2">
      <c r="B783" s="99"/>
      <c r="C783" s="264"/>
      <c r="D783" s="264"/>
      <c r="E783" s="264"/>
      <c r="F783" s="264"/>
      <c r="G783" s="264"/>
      <c r="H783" s="264"/>
      <c r="J783" s="32"/>
      <c r="K783" s="28"/>
      <c r="L783" s="29"/>
      <c r="Q783" s="512" t="str">
        <f>IF(M768&lt;&gt;"Ναι","","Για την ΚΧΙ θα είναι…   Kc=¼=(0,3-x)·(0,5-x)/(0,7+x)·(0,3+x). 
Από την επίλυση της τελευταίας εξίσωσης προκύπτει  x=0,1,  άρα η ποσότητα του CO2 στην ΚΧΙ, θα είναι 0,8mol.")</f>
        <v>Για την ΚΧΙ θα είναι…   Kc=¼=(0,3-x)·(0,5-x)/(0,7+x)·(0,3+x). 
Από την επίλυση της τελευταίας εξίσωσης προκύπτει  x=0,1,  άρα η ποσότητα του CO2 στην ΚΧΙ, θα είναι 0,8mol.</v>
      </c>
      <c r="R783" s="512"/>
      <c r="S783" s="512"/>
      <c r="T783" s="512"/>
      <c r="U783" s="512"/>
      <c r="V783" s="512"/>
      <c r="W783" s="512"/>
      <c r="X783" s="512"/>
      <c r="Z783" s="30"/>
    </row>
    <row r="784" spans="1:26" ht="13.9" customHeight="1" x14ac:dyDescent="0.2">
      <c r="C784" s="264"/>
      <c r="D784" s="264"/>
      <c r="E784" s="264"/>
      <c r="F784" s="264"/>
      <c r="G784" s="264"/>
      <c r="H784" s="264"/>
      <c r="J784" s="32"/>
      <c r="K784" s="28"/>
      <c r="L784" s="29"/>
      <c r="Q784" s="512"/>
      <c r="R784" s="512"/>
      <c r="S784" s="512"/>
      <c r="T784" s="512"/>
      <c r="U784" s="512"/>
      <c r="V784" s="512"/>
      <c r="W784" s="512"/>
      <c r="X784" s="512"/>
      <c r="Z784" s="30"/>
    </row>
    <row r="785" spans="1:26" ht="13.9" customHeight="1" thickBot="1" x14ac:dyDescent="0.25">
      <c r="I785" s="7"/>
      <c r="J785" s="32"/>
      <c r="K785" s="28"/>
      <c r="L785" s="29"/>
      <c r="Q785" s="512"/>
      <c r="R785" s="512"/>
      <c r="S785" s="512"/>
      <c r="T785" s="512"/>
      <c r="U785" s="512"/>
      <c r="V785" s="512"/>
      <c r="W785" s="512"/>
      <c r="X785" s="512"/>
      <c r="Z785" s="30"/>
    </row>
    <row r="786" spans="1:26" ht="16.149999999999999" customHeight="1" thickTop="1" thickBot="1" x14ac:dyDescent="0.25">
      <c r="A786" s="514" t="str">
        <f>IF(B786&lt;&gt;"G","",6)</f>
        <v/>
      </c>
      <c r="B786" s="514" t="str">
        <f>IF(OR(I786="",I787="",I788=""),"",IF(AND(I786="Λ",I787="Λ",I788="Σ"),"G","R"))</f>
        <v/>
      </c>
      <c r="C786" s="212" t="s">
        <v>137</v>
      </c>
      <c r="D786" s="212"/>
      <c r="E786" s="212"/>
      <c r="F786" s="212"/>
      <c r="G786" s="212"/>
      <c r="H786" s="118" t="s">
        <v>91</v>
      </c>
      <c r="I786" s="184"/>
      <c r="J786" s="32"/>
      <c r="K786" s="28"/>
      <c r="L786" s="29"/>
      <c r="Q786" s="298" t="str">
        <f>IF(M768&lt;&gt;"Ναι","","Η ενθαλπία της αντίδρασης υπολογίζεται εύκολα, αν σκεφτούμε ότι…
Όταν αντιδρούν 0,1mol από καθένα από τα CO και H2O, εκλύονται 4,2kJ, άρα…
όταν αντιδράσουν 1mol από τις ίδιες ουσίες, θα ελευθερωθούν  42kJ.")</f>
        <v>Η ενθαλπία της αντίδρασης υπολογίζεται εύκολα, αν σκεφτούμε ότι…
Όταν αντιδρούν 0,1mol από καθένα από τα CO και H2O, εκλύονται 4,2kJ, άρα…
όταν αντιδράσουν 1mol από τις ίδιες ουσίες, θα ελευθερωθούν  42kJ.</v>
      </c>
      <c r="R786" s="298"/>
      <c r="S786" s="298"/>
      <c r="T786" s="298"/>
      <c r="U786" s="298"/>
      <c r="V786" s="298"/>
      <c r="W786" s="298"/>
      <c r="X786" s="298"/>
      <c r="Z786" s="30"/>
    </row>
    <row r="787" spans="1:26" ht="16.149999999999999" customHeight="1" thickTop="1" thickBot="1" x14ac:dyDescent="0.25">
      <c r="A787" s="12"/>
      <c r="C787" s="212"/>
      <c r="D787" s="212"/>
      <c r="E787" s="212"/>
      <c r="F787" s="212"/>
      <c r="G787" s="212"/>
      <c r="H787" s="118" t="s">
        <v>92</v>
      </c>
      <c r="I787" s="184"/>
      <c r="J787" s="32"/>
      <c r="K787" s="28"/>
      <c r="L787" s="29"/>
      <c r="Q787" s="298"/>
      <c r="R787" s="298"/>
      <c r="S787" s="298"/>
      <c r="T787" s="298"/>
      <c r="U787" s="298"/>
      <c r="V787" s="298"/>
      <c r="W787" s="298"/>
      <c r="X787" s="298"/>
      <c r="Z787" s="30"/>
    </row>
    <row r="788" spans="1:26" ht="16.149999999999999" customHeight="1" thickTop="1" thickBot="1" x14ac:dyDescent="0.25">
      <c r="A788" s="12"/>
      <c r="C788" s="212"/>
      <c r="D788" s="212"/>
      <c r="E788" s="212"/>
      <c r="F788" s="212"/>
      <c r="G788" s="212"/>
      <c r="H788" s="118" t="s">
        <v>93</v>
      </c>
      <c r="I788" s="184"/>
      <c r="J788" s="32"/>
      <c r="K788" s="28"/>
      <c r="L788" s="29"/>
      <c r="Q788" s="298"/>
      <c r="R788" s="298"/>
      <c r="S788" s="298"/>
      <c r="T788" s="298"/>
      <c r="U788" s="298"/>
      <c r="V788" s="298"/>
      <c r="W788" s="298"/>
      <c r="X788" s="298"/>
      <c r="Z788" s="30"/>
    </row>
    <row r="789" spans="1:26" ht="13.9" customHeight="1" thickTop="1" thickBot="1" x14ac:dyDescent="0.25">
      <c r="A789" s="12"/>
      <c r="I789" s="7"/>
      <c r="J789" s="32"/>
      <c r="K789" s="28"/>
      <c r="L789" s="29"/>
      <c r="Q789" s="513" t="str">
        <f>IF(M768&lt;&gt;"Ναι","","Άρα όταν θα αντιδρά 1mol CO2 με 1mol H2, θα σχηματίζονται 1mol CO και 1mol H2O, ενώ ταυτόχρονα θα απορροφώνται από το περιβάλλον, 42kJ. Κατά συνέπεια η ενθαλπία της αντίδρασης θα είναι… ΔΗ=+42kJ.")</f>
        <v>Άρα όταν θα αντιδρά 1mol CO2 με 1mol H2, θα σχηματίζονται 1mol CO και 1mol H2O, ενώ ταυτόχρονα θα απορροφώνται από το περιβάλλον, 42kJ. Κατά συνέπεια η ενθαλπία της αντίδρασης θα είναι… ΔΗ=+42kJ.</v>
      </c>
      <c r="R789" s="513"/>
      <c r="S789" s="513"/>
      <c r="T789" s="513"/>
      <c r="U789" s="513"/>
      <c r="V789" s="513"/>
      <c r="W789" s="513"/>
      <c r="X789" s="513"/>
      <c r="Z789" s="30"/>
    </row>
    <row r="790" spans="1:26" ht="13.9" customHeight="1" thickTop="1" thickBot="1" x14ac:dyDescent="0.25">
      <c r="A790" s="514" t="str">
        <f>IF(B790&lt;&gt;"G","",6)</f>
        <v/>
      </c>
      <c r="B790" s="514" t="str">
        <f>IF(OR(I790="",I792="",I793=""),"",IF(AND(I790="Λ",I792="Λ",I793="Σ"),"G","R"))</f>
        <v/>
      </c>
      <c r="C790" s="229" t="s">
        <v>469</v>
      </c>
      <c r="D790" s="229"/>
      <c r="E790" s="229"/>
      <c r="F790" s="369" t="s">
        <v>466</v>
      </c>
      <c r="G790" s="369"/>
      <c r="H790" s="369"/>
      <c r="I790" s="320"/>
      <c r="J790" s="32"/>
      <c r="K790" s="28"/>
      <c r="L790" s="29"/>
      <c r="Q790" s="513"/>
      <c r="R790" s="513"/>
      <c r="S790" s="513"/>
      <c r="T790" s="513"/>
      <c r="U790" s="513"/>
      <c r="V790" s="513"/>
      <c r="W790" s="513"/>
      <c r="X790" s="513"/>
      <c r="Z790" s="30"/>
    </row>
    <row r="791" spans="1:26" ht="13.9" customHeight="1" thickTop="1" thickBot="1" x14ac:dyDescent="0.25">
      <c r="C791" s="229"/>
      <c r="D791" s="229"/>
      <c r="E791" s="229"/>
      <c r="F791" s="369"/>
      <c r="G791" s="369"/>
      <c r="H791" s="369"/>
      <c r="I791" s="320"/>
      <c r="J791" s="32"/>
      <c r="K791" s="28"/>
      <c r="L791" s="29"/>
      <c r="Q791" s="513"/>
      <c r="R791" s="513"/>
      <c r="S791" s="513"/>
      <c r="T791" s="513"/>
      <c r="U791" s="513"/>
      <c r="V791" s="513"/>
      <c r="W791" s="513"/>
      <c r="X791" s="513"/>
      <c r="Z791" s="30"/>
    </row>
    <row r="792" spans="1:26" ht="13.9" customHeight="1" thickTop="1" thickBot="1" x14ac:dyDescent="0.25">
      <c r="C792" s="229"/>
      <c r="D792" s="229"/>
      <c r="E792" s="229"/>
      <c r="F792" s="368" t="s">
        <v>467</v>
      </c>
      <c r="G792" s="368"/>
      <c r="H792" s="368"/>
      <c r="I792" s="185"/>
      <c r="J792" s="32"/>
      <c r="K792" s="28"/>
      <c r="L792" s="29"/>
      <c r="Z792" s="30"/>
    </row>
    <row r="793" spans="1:26" ht="13.9" customHeight="1" thickTop="1" thickBot="1" x14ac:dyDescent="0.25">
      <c r="C793" s="229"/>
      <c r="D793" s="229"/>
      <c r="E793" s="229"/>
      <c r="F793" s="369" t="s">
        <v>468</v>
      </c>
      <c r="G793" s="369"/>
      <c r="H793" s="369"/>
      <c r="I793" s="320"/>
      <c r="J793" s="32"/>
      <c r="K793" s="28"/>
      <c r="L793" s="29"/>
      <c r="Z793" s="30"/>
    </row>
    <row r="794" spans="1:26" ht="13.9" customHeight="1" thickTop="1" thickBot="1" x14ac:dyDescent="0.25">
      <c r="C794" s="229"/>
      <c r="D794" s="229"/>
      <c r="E794" s="229"/>
      <c r="F794" s="369"/>
      <c r="G794" s="369"/>
      <c r="H794" s="369"/>
      <c r="I794" s="320"/>
      <c r="J794" s="32"/>
      <c r="K794" s="28"/>
      <c r="L794" s="29"/>
      <c r="Z794" s="30"/>
    </row>
    <row r="795" spans="1:26" ht="13.9" customHeight="1" thickTop="1" thickBot="1" x14ac:dyDescent="0.25">
      <c r="I795" s="7"/>
      <c r="J795" s="32"/>
      <c r="K795" s="28"/>
      <c r="L795" s="29"/>
      <c r="Z795" s="30"/>
    </row>
    <row r="796" spans="1:26" ht="13.9" customHeight="1" thickTop="1" thickBot="1" x14ac:dyDescent="0.25">
      <c r="A796" s="514" t="str">
        <f>IF(B796&lt;&gt;"G","",6)</f>
        <v/>
      </c>
      <c r="B796" s="514" t="str">
        <f>IF(OR(I796="",I798=""),"",IF(AND(I796="Σ",I798="Λ"),"G","R"))</f>
        <v/>
      </c>
      <c r="C796" s="212" t="s">
        <v>159</v>
      </c>
      <c r="D796" s="212"/>
      <c r="E796" s="212"/>
      <c r="F796" s="212"/>
      <c r="G796" s="470" t="s">
        <v>471</v>
      </c>
      <c r="H796" s="470"/>
      <c r="I796" s="471"/>
      <c r="J796" s="32"/>
      <c r="K796" s="28"/>
      <c r="L796" s="29"/>
      <c r="Z796" s="30"/>
    </row>
    <row r="797" spans="1:26" ht="13.9" customHeight="1" thickTop="1" thickBot="1" x14ac:dyDescent="0.25">
      <c r="C797" s="212"/>
      <c r="D797" s="212"/>
      <c r="E797" s="212"/>
      <c r="F797" s="212"/>
      <c r="G797" s="470"/>
      <c r="H797" s="470"/>
      <c r="I797" s="471"/>
      <c r="J797" s="32"/>
      <c r="K797" s="28"/>
      <c r="L797" s="29"/>
      <c r="Z797" s="30"/>
    </row>
    <row r="798" spans="1:26" ht="13.9" customHeight="1" thickTop="1" thickBot="1" x14ac:dyDescent="0.25">
      <c r="C798" s="212"/>
      <c r="D798" s="212"/>
      <c r="E798" s="212"/>
      <c r="F798" s="212"/>
      <c r="G798" s="470" t="s">
        <v>472</v>
      </c>
      <c r="H798" s="470"/>
      <c r="I798" s="471"/>
      <c r="J798" s="32"/>
      <c r="K798" s="28"/>
      <c r="L798" s="29"/>
      <c r="Z798" s="30"/>
    </row>
    <row r="799" spans="1:26" ht="13.9" customHeight="1" thickTop="1" thickBot="1" x14ac:dyDescent="0.25">
      <c r="C799" s="212"/>
      <c r="D799" s="212"/>
      <c r="E799" s="212"/>
      <c r="F799" s="212"/>
      <c r="G799" s="470"/>
      <c r="H799" s="470"/>
      <c r="I799" s="471"/>
      <c r="J799" s="32"/>
      <c r="K799" s="28"/>
      <c r="L799" s="29"/>
      <c r="Z799" s="30"/>
    </row>
    <row r="800" spans="1:26" ht="13.9" customHeight="1" thickTop="1" thickBot="1" x14ac:dyDescent="0.25">
      <c r="J800" s="32"/>
      <c r="K800" s="28"/>
      <c r="L800" s="29"/>
      <c r="Z800" s="30"/>
    </row>
    <row r="801" spans="1:26" ht="13.9" customHeight="1" thickTop="1" thickBot="1" x14ac:dyDescent="0.25">
      <c r="A801" s="514" t="str">
        <f>IF(B801&lt;&gt;"G","",15)</f>
        <v/>
      </c>
      <c r="B801" s="514" t="str">
        <f>IF(H801="","",IF(OR(H801="+42kJ",H801="42kJ"),"G","R"))</f>
        <v/>
      </c>
      <c r="C801" s="212" t="s">
        <v>138</v>
      </c>
      <c r="D801" s="212"/>
      <c r="E801" s="212"/>
      <c r="F801" s="212"/>
      <c r="G801" s="212"/>
      <c r="H801" s="468"/>
      <c r="J801" s="32"/>
      <c r="K801" s="28"/>
      <c r="L801" s="29"/>
      <c r="Z801" s="30"/>
    </row>
    <row r="802" spans="1:26" ht="13.9" customHeight="1" thickTop="1" thickBot="1" x14ac:dyDescent="0.25">
      <c r="C802" s="212"/>
      <c r="D802" s="212"/>
      <c r="E802" s="212"/>
      <c r="F802" s="212"/>
      <c r="G802" s="212"/>
      <c r="H802" s="468"/>
      <c r="J802" s="32"/>
      <c r="K802" s="28"/>
      <c r="L802" s="29"/>
      <c r="Z802" s="30"/>
    </row>
    <row r="803" spans="1:26" ht="13.9" customHeight="1" thickTop="1" thickBot="1" x14ac:dyDescent="0.25">
      <c r="C803" s="212"/>
      <c r="D803" s="212"/>
      <c r="E803" s="212"/>
      <c r="F803" s="212"/>
      <c r="G803" s="212"/>
      <c r="H803" s="468"/>
      <c r="J803" s="134"/>
      <c r="K803" s="28"/>
      <c r="L803" s="29"/>
      <c r="Z803" s="30"/>
    </row>
    <row r="804" spans="1:26" ht="13.9" customHeight="1" thickTop="1" thickBot="1" x14ac:dyDescent="0.25">
      <c r="I804" s="43"/>
      <c r="J804" s="243" t="str">
        <f>IF(K804="","",IF(K804=75,"ΖΗΤΩΩ!.","ΟΥΟΥΠΣ!.."))</f>
        <v/>
      </c>
      <c r="K804" s="203" t="str">
        <f>IF(OR(B805="",B801="",B796="",B790="",B786="",B775="",M768="Ναι"),"",SUM(A775:A805))</f>
        <v/>
      </c>
      <c r="L804" s="29"/>
      <c r="O804" s="311">
        <v>75</v>
      </c>
      <c r="Z804" s="30"/>
    </row>
    <row r="805" spans="1:26" ht="16.149999999999999" customHeight="1" thickTop="1" thickBot="1" x14ac:dyDescent="0.25">
      <c r="A805" s="514" t="str">
        <f>IF(B805&lt;&gt;"G","",30)</f>
        <v/>
      </c>
      <c r="B805" s="514" t="str">
        <f>IF(H805="","",IF(OR(H805="0,8mol",H805="0,80mol"),"G","R"))</f>
        <v/>
      </c>
      <c r="C805" s="469" t="s">
        <v>160</v>
      </c>
      <c r="D805" s="469"/>
      <c r="E805" s="469"/>
      <c r="F805" s="469"/>
      <c r="G805" s="469"/>
      <c r="H805" s="146"/>
      <c r="I805" s="43"/>
      <c r="J805" s="244"/>
      <c r="K805" s="204"/>
      <c r="L805" s="29"/>
      <c r="O805" s="311"/>
      <c r="Z805" s="30"/>
    </row>
    <row r="806" spans="1:26" ht="13.9" customHeight="1" thickTop="1" x14ac:dyDescent="0.2">
      <c r="I806" s="7"/>
      <c r="J806" s="125"/>
      <c r="K806" s="28"/>
      <c r="L806" s="29"/>
      <c r="Z806" s="30"/>
    </row>
    <row r="807" spans="1:26" ht="13.9" customHeight="1" x14ac:dyDescent="0.2">
      <c r="A807" s="40"/>
      <c r="B807" s="40"/>
      <c r="C807" s="40"/>
      <c r="D807" s="40"/>
      <c r="E807" s="40"/>
      <c r="F807" s="40"/>
      <c r="G807" s="40"/>
      <c r="H807" s="40"/>
      <c r="I807" s="40"/>
      <c r="J807" s="28"/>
      <c r="K807" s="28"/>
      <c r="L807" s="29"/>
      <c r="Z807" s="30"/>
    </row>
    <row r="808" spans="1:26" ht="13.9" customHeight="1" thickBot="1" x14ac:dyDescent="0.25">
      <c r="I808" s="7"/>
      <c r="J808" s="32"/>
      <c r="K808" s="28"/>
      <c r="L808" s="29"/>
      <c r="Z808" s="30"/>
    </row>
    <row r="809" spans="1:26" ht="18" customHeight="1" thickBot="1" x14ac:dyDescent="0.25">
      <c r="B809" s="35" t="s">
        <v>341</v>
      </c>
      <c r="C809" s="59" t="s">
        <v>105</v>
      </c>
      <c r="D809" s="69" t="s">
        <v>351</v>
      </c>
      <c r="E809" s="120" t="s">
        <v>86</v>
      </c>
      <c r="F809" s="50" t="s">
        <v>368</v>
      </c>
      <c r="G809" s="51" t="s">
        <v>161</v>
      </c>
      <c r="H809" s="135"/>
      <c r="I809" s="136"/>
      <c r="J809" s="32"/>
      <c r="K809" s="28"/>
      <c r="L809" s="29"/>
      <c r="M809" s="232" t="s">
        <v>192</v>
      </c>
      <c r="N809" s="233"/>
      <c r="Z809" s="30"/>
    </row>
    <row r="810" spans="1:26" ht="13.9" customHeight="1" thickBot="1" x14ac:dyDescent="0.25">
      <c r="J810" s="32"/>
      <c r="K810" s="28"/>
      <c r="L810" s="29"/>
      <c r="M810" s="232"/>
      <c r="N810" s="233"/>
      <c r="Z810" s="30"/>
    </row>
    <row r="811" spans="1:26" ht="16.149999999999999" customHeight="1" thickTop="1" thickBot="1" x14ac:dyDescent="0.25">
      <c r="A811" s="461" t="s">
        <v>473</v>
      </c>
      <c r="B811" s="467" t="s">
        <v>395</v>
      </c>
      <c r="C811" s="370"/>
      <c r="D811" s="463"/>
      <c r="E811" s="481" t="s">
        <v>162</v>
      </c>
      <c r="F811" s="463"/>
      <c r="G811" s="481" t="s">
        <v>163</v>
      </c>
      <c r="H811" s="321" t="s">
        <v>164</v>
      </c>
      <c r="I811" s="322"/>
      <c r="J811" s="32"/>
      <c r="K811" s="28"/>
      <c r="L811" s="29"/>
      <c r="M811" s="227"/>
      <c r="N811" s="228"/>
      <c r="P811" s="295" t="str">
        <f>IF(M811="Ναι","→","")</f>
        <v/>
      </c>
      <c r="Q811" s="296" t="str">
        <f>IF(M811&lt;&gt;"Ναι","","Λύση του προβλήματος 11β.")</f>
        <v/>
      </c>
      <c r="R811" s="296"/>
      <c r="S811" s="296"/>
      <c r="Z811" s="30"/>
    </row>
    <row r="812" spans="1:26" ht="16.149999999999999" customHeight="1" thickTop="1" thickBot="1" x14ac:dyDescent="0.25">
      <c r="A812" s="461"/>
      <c r="B812" s="467"/>
      <c r="C812" s="372"/>
      <c r="D812" s="463"/>
      <c r="E812" s="481"/>
      <c r="F812" s="463"/>
      <c r="G812" s="481"/>
      <c r="H812" s="323"/>
      <c r="I812" s="324"/>
      <c r="J812" s="32"/>
      <c r="K812" s="28"/>
      <c r="L812" s="29"/>
      <c r="M812" s="227"/>
      <c r="N812" s="228"/>
      <c r="P812" s="295"/>
      <c r="Q812" s="235" t="str">
        <f>IF(M811&lt;&gt;"Ναι","","Αφού οι μεταβολές που επιφέραμε, είχαν ως αποτέλεσμα, να αυξηθεί το μοριακό κλάσμα του CO2, (από 0,5 έγινε 0,8), καταλαβαίνουμε ότι η ισορροπία μετατοπίστηκε προς τα αριστερά, οπότε ο πίνακας που δόθηκε θα συμπληρωθεί ως εξής:")</f>
        <v/>
      </c>
      <c r="R812" s="235"/>
      <c r="S812" s="235"/>
      <c r="T812" s="235"/>
      <c r="U812" s="235"/>
      <c r="V812" s="235"/>
      <c r="W812" s="235"/>
      <c r="X812" s="235"/>
      <c r="Z812" s="30"/>
    </row>
    <row r="813" spans="1:26" ht="13.9" customHeight="1" thickTop="1" thickBot="1" x14ac:dyDescent="0.25">
      <c r="B813" s="137" t="s">
        <v>411</v>
      </c>
      <c r="C813" s="373" t="s">
        <v>167</v>
      </c>
      <c r="D813" s="374"/>
      <c r="E813" s="374"/>
      <c r="F813" s="374"/>
      <c r="G813" s="374"/>
      <c r="H813" s="375"/>
      <c r="I813" s="375"/>
      <c r="J813" s="32"/>
      <c r="K813" s="28"/>
      <c r="L813" s="29"/>
      <c r="Q813" s="235"/>
      <c r="R813" s="235"/>
      <c r="S813" s="235"/>
      <c r="T813" s="235"/>
      <c r="U813" s="235"/>
      <c r="V813" s="235"/>
      <c r="W813" s="235"/>
      <c r="X813" s="235"/>
      <c r="Z813" s="30"/>
    </row>
    <row r="814" spans="1:26" ht="13.9" customHeight="1" thickTop="1" thickBot="1" x14ac:dyDescent="0.25">
      <c r="A814" s="99" t="s">
        <v>390</v>
      </c>
      <c r="B814" s="138" t="s">
        <v>372</v>
      </c>
      <c r="C814" s="370"/>
      <c r="D814" s="464" t="s">
        <v>351</v>
      </c>
      <c r="E814" s="146"/>
      <c r="F814" s="466" t="s">
        <v>368</v>
      </c>
      <c r="G814" s="146"/>
      <c r="H814" s="7"/>
      <c r="I814" s="7"/>
      <c r="J814" s="32"/>
      <c r="K814" s="28"/>
      <c r="L814" s="29"/>
      <c r="Q814" s="235"/>
      <c r="R814" s="235"/>
      <c r="S814" s="235"/>
      <c r="T814" s="235"/>
      <c r="U814" s="235"/>
      <c r="V814" s="235"/>
      <c r="W814" s="235"/>
      <c r="X814" s="235"/>
      <c r="Z814" s="30"/>
    </row>
    <row r="815" spans="1:26" ht="13.9" customHeight="1" thickTop="1" thickBot="1" x14ac:dyDescent="0.25">
      <c r="B815" s="138" t="s">
        <v>370</v>
      </c>
      <c r="C815" s="371"/>
      <c r="D815" s="465"/>
      <c r="E815" s="146"/>
      <c r="F815" s="466"/>
      <c r="G815" s="146"/>
      <c r="H815" s="7"/>
      <c r="I815" s="7"/>
      <c r="J815" s="32"/>
      <c r="K815" s="28"/>
      <c r="L815" s="29"/>
      <c r="R815" s="21" t="str">
        <f>IF(M811&lt;&gt;"Ναι","","C(s)")</f>
        <v/>
      </c>
      <c r="S815" s="17" t="str">
        <f>IF(M811&lt;&gt;"Ναι","","+")</f>
        <v/>
      </c>
      <c r="T815" s="21" t="str">
        <f>IF(M$811&lt;&gt;"Ναι","","CO2(g)")</f>
        <v/>
      </c>
      <c r="U815" s="16" t="str">
        <f>IF(M811&lt;&gt;"Ναι","","D")</f>
        <v/>
      </c>
      <c r="V815" s="21" t="str">
        <f>IF(M$811&lt;&gt;"Ναι","","2CO(g)")</f>
        <v/>
      </c>
      <c r="W815" s="3"/>
      <c r="X815" s="3"/>
      <c r="Z815" s="30"/>
    </row>
    <row r="816" spans="1:26" ht="16.149999999999999" customHeight="1" thickTop="1" thickBot="1" x14ac:dyDescent="0.25">
      <c r="A816" s="461" t="s">
        <v>473</v>
      </c>
      <c r="B816" s="467" t="s">
        <v>399</v>
      </c>
      <c r="C816" s="371"/>
      <c r="D816" s="465"/>
      <c r="E816" s="462"/>
      <c r="F816" s="466"/>
      <c r="G816" s="462"/>
      <c r="H816" s="321" t="s">
        <v>165</v>
      </c>
      <c r="I816" s="322"/>
      <c r="J816" s="32"/>
      <c r="K816" s="28"/>
      <c r="L816" s="29"/>
      <c r="Q816" s="303" t="str">
        <f>IF(M$811&lt;&gt;"Ναι","","αρχ. ΚΧΙ")</f>
        <v/>
      </c>
      <c r="R816" s="207"/>
      <c r="S816" s="207"/>
      <c r="T816" s="484" t="str">
        <f>IF(M$811&lt;&gt;"Ναι","","n1mol")</f>
        <v/>
      </c>
      <c r="U816" s="207"/>
      <c r="V816" s="484" t="str">
        <f>IF(M$811&lt;&gt;"Ναι","","n2mol")</f>
        <v/>
      </c>
      <c r="W816" s="305" t="str">
        <f>IF(M$811&lt;&gt;"Ναι","","Pολ.α., Vολ.α.
(CO2): γ1α.=0,5")</f>
        <v/>
      </c>
      <c r="X816" s="306"/>
      <c r="Z816" s="30"/>
    </row>
    <row r="817" spans="1:26" ht="16.149999999999999" customHeight="1" thickTop="1" thickBot="1" x14ac:dyDescent="0.25">
      <c r="A817" s="461"/>
      <c r="B817" s="467"/>
      <c r="C817" s="372"/>
      <c r="D817" s="465"/>
      <c r="E817" s="462"/>
      <c r="F817" s="466"/>
      <c r="G817" s="462"/>
      <c r="H817" s="323"/>
      <c r="I817" s="324"/>
      <c r="J817" s="32"/>
      <c r="K817" s="28"/>
      <c r="L817" s="29"/>
      <c r="Q817" s="303"/>
      <c r="R817" s="207"/>
      <c r="S817" s="207"/>
      <c r="T817" s="484"/>
      <c r="U817" s="207"/>
      <c r="V817" s="484"/>
      <c r="W817" s="306"/>
      <c r="X817" s="306"/>
      <c r="Z817" s="30"/>
    </row>
    <row r="818" spans="1:26" ht="13.9" customHeight="1" thickTop="1" x14ac:dyDescent="0.2">
      <c r="I818" s="7"/>
      <c r="J818" s="32"/>
      <c r="K818" s="28"/>
      <c r="L818" s="29"/>
      <c r="Q818" s="9" t="str">
        <f>IF(M$811&lt;&gt;"Ναι","","μεταβολές:")</f>
        <v/>
      </c>
      <c r="R818" s="485" t="str">
        <f>IF(M811&lt;&gt;"Ναι","","αλλαγή του όγκου από Vολ.α. (αρχικό), σε Vολ.τ. (τελικό)")</f>
        <v/>
      </c>
      <c r="S818" s="485"/>
      <c r="T818" s="485"/>
      <c r="U818" s="485"/>
      <c r="V818" s="485"/>
      <c r="W818" s="485"/>
      <c r="X818" s="485"/>
      <c r="Z818" s="30"/>
    </row>
    <row r="819" spans="1:26" ht="15" customHeight="1" x14ac:dyDescent="0.2">
      <c r="C819" s="245" t="s">
        <v>515</v>
      </c>
      <c r="D819" s="245"/>
      <c r="E819" s="245"/>
      <c r="F819" s="245"/>
      <c r="G819" s="245"/>
      <c r="H819" s="245"/>
      <c r="I819" s="7"/>
      <c r="J819" s="32"/>
      <c r="K819" s="28"/>
      <c r="L819" s="29"/>
      <c r="Q819" s="162" t="str">
        <f>IF(M$811&lt;&gt;"Ναι","","αντέδρασαν")</f>
        <v/>
      </c>
      <c r="R819" s="207"/>
      <c r="S819" s="486"/>
      <c r="T819" s="8"/>
      <c r="U819" s="312"/>
      <c r="V819" s="14" t="str">
        <f>IF(M$811&lt;&gt;"Ναι","","2xmol")</f>
        <v/>
      </c>
      <c r="W819" s="7"/>
      <c r="X819" s="7"/>
      <c r="Z819" s="30"/>
    </row>
    <row r="820" spans="1:26" ht="15" customHeight="1" x14ac:dyDescent="0.2">
      <c r="C820" s="245"/>
      <c r="D820" s="245"/>
      <c r="E820" s="245"/>
      <c r="F820" s="245"/>
      <c r="G820" s="245"/>
      <c r="H820" s="245"/>
      <c r="I820" s="7"/>
      <c r="J820" s="32"/>
      <c r="K820" s="28"/>
      <c r="L820" s="29"/>
      <c r="Q820" s="162" t="str">
        <f>IF(M$811&lt;&gt;"Ναι","","παρ/θηκαν")</f>
        <v/>
      </c>
      <c r="R820" s="207"/>
      <c r="S820" s="487"/>
      <c r="T820" s="14" t="str">
        <f>IF(M$811&lt;&gt;"Ναι","","xmol")</f>
        <v/>
      </c>
      <c r="U820" s="312"/>
      <c r="V820" s="8"/>
      <c r="W820" s="7"/>
      <c r="X820" s="7"/>
      <c r="Z820" s="30"/>
    </row>
    <row r="821" spans="1:26" ht="15" customHeight="1" x14ac:dyDescent="0.2">
      <c r="C821" s="245"/>
      <c r="D821" s="245"/>
      <c r="E821" s="245"/>
      <c r="F821" s="245"/>
      <c r="G821" s="245"/>
      <c r="H821" s="245"/>
      <c r="I821" s="7"/>
      <c r="J821" s="32"/>
      <c r="K821" s="28"/>
      <c r="L821" s="29"/>
      <c r="Q821" s="303" t="str">
        <f>IF(M$811&lt;&gt;"Ναι","","τελ. ΚΧΙ")</f>
        <v/>
      </c>
      <c r="R821" s="207"/>
      <c r="S821" s="487"/>
      <c r="T821" s="304" t="str">
        <f>IF(M$811&lt;&gt;"Ναι","","(n1+x)mol")</f>
        <v/>
      </c>
      <c r="U821" s="312"/>
      <c r="V821" s="304" t="str">
        <f>IF(M$811&lt;&gt;"Ναι","","(n2–2x)mol")</f>
        <v/>
      </c>
      <c r="W821" s="305" t="str">
        <f>IF(M$811&lt;&gt;"Ναι","","Pολ.τ., Vολ.τ.
(CO2): γ1τ.=0,8")</f>
        <v/>
      </c>
      <c r="X821" s="306"/>
      <c r="Z821" s="30"/>
    </row>
    <row r="822" spans="1:26" ht="15" customHeight="1" x14ac:dyDescent="0.2">
      <c r="C822" s="245"/>
      <c r="D822" s="245"/>
      <c r="E822" s="245"/>
      <c r="F822" s="245"/>
      <c r="G822" s="245"/>
      <c r="H822" s="245"/>
      <c r="I822" s="7"/>
      <c r="J822" s="32"/>
      <c r="K822" s="28"/>
      <c r="L822" s="29"/>
      <c r="Q822" s="303"/>
      <c r="R822" s="207"/>
      <c r="S822" s="487"/>
      <c r="T822" s="304"/>
      <c r="U822" s="312"/>
      <c r="V822" s="304"/>
      <c r="W822" s="306"/>
      <c r="X822" s="306"/>
      <c r="Z822" s="30"/>
    </row>
    <row r="823" spans="1:26" ht="15" customHeight="1" x14ac:dyDescent="0.2">
      <c r="C823" s="245"/>
      <c r="D823" s="245"/>
      <c r="E823" s="245"/>
      <c r="F823" s="245"/>
      <c r="G823" s="245"/>
      <c r="H823" s="245"/>
      <c r="I823" s="7"/>
      <c r="J823" s="32"/>
      <c r="K823" s="28"/>
      <c r="L823" s="29"/>
      <c r="Q823" s="235" t="str">
        <f>IF(M811&lt;&gt;"Ναι","","Από την τιμή του μοριακού κλάσματος του CO2, στην αρχ. ΚΧΙ, έχουμε…
n1/(n1+n2)=0,5  άρα  2n1=n1+n2  άρα n1=n2=n, οπότε οι ποσότητες των δυο αερίων
στην τελ. ΚΧΙ θα είναι  (n+x)mol CO2  και  (n–2x)mol CO.")</f>
        <v/>
      </c>
      <c r="R823" s="235"/>
      <c r="S823" s="235"/>
      <c r="T823" s="235"/>
      <c r="U823" s="235"/>
      <c r="V823" s="235"/>
      <c r="W823" s="235"/>
      <c r="X823" s="235"/>
      <c r="Z823" s="30"/>
    </row>
    <row r="824" spans="1:26" ht="15" customHeight="1" x14ac:dyDescent="0.2">
      <c r="C824" s="245"/>
      <c r="D824" s="245"/>
      <c r="E824" s="245"/>
      <c r="F824" s="245"/>
      <c r="G824" s="245"/>
      <c r="H824" s="245"/>
      <c r="I824" s="7"/>
      <c r="J824" s="32"/>
      <c r="K824" s="28"/>
      <c r="L824" s="29"/>
      <c r="Q824" s="235"/>
      <c r="R824" s="235"/>
      <c r="S824" s="235"/>
      <c r="T824" s="235"/>
      <c r="U824" s="235"/>
      <c r="V824" s="235"/>
      <c r="W824" s="235"/>
      <c r="X824" s="235"/>
      <c r="Z824" s="30"/>
    </row>
    <row r="825" spans="1:26" ht="15" customHeight="1" x14ac:dyDescent="0.2">
      <c r="C825" s="245"/>
      <c r="D825" s="245"/>
      <c r="E825" s="245"/>
      <c r="F825" s="245"/>
      <c r="G825" s="245"/>
      <c r="H825" s="245"/>
      <c r="I825" s="7"/>
      <c r="J825" s="32"/>
      <c r="K825" s="28"/>
      <c r="L825" s="29"/>
      <c r="Q825" s="235"/>
      <c r="R825" s="235"/>
      <c r="S825" s="235"/>
      <c r="T825" s="235"/>
      <c r="U825" s="235"/>
      <c r="V825" s="235"/>
      <c r="W825" s="235"/>
      <c r="X825" s="235"/>
      <c r="Z825" s="30"/>
    </row>
    <row r="826" spans="1:26" ht="15" customHeight="1" x14ac:dyDescent="0.2">
      <c r="C826" s="245"/>
      <c r="D826" s="245"/>
      <c r="E826" s="245"/>
      <c r="F826" s="245"/>
      <c r="G826" s="245"/>
      <c r="H826" s="245"/>
      <c r="I826" s="7"/>
      <c r="J826" s="32"/>
      <c r="K826" s="28"/>
      <c r="L826" s="29"/>
      <c r="Q826" s="235" t="str">
        <f>IF(M811&lt;&gt;"Ναι","","Από την τιμή του μοριακού κλάσματος του CO2, στην τελ. ΚΧΙ, έχουμε…
(n+x)/(n+x+n–2x)=0,8  άρα  0,8(2n–x)=n+x  άρα  1,6n–n=1,8x  δηλ. 0,6n=1,8x.
Προκύπτει άρα ότι  n=3x  και συνεπώς στην τελ. ΚΧΙ έχουμε  4xmol CO2  και  xmol CO.")</f>
        <v/>
      </c>
      <c r="R826" s="235"/>
      <c r="S826" s="235"/>
      <c r="T826" s="235"/>
      <c r="U826" s="235"/>
      <c r="V826" s="235"/>
      <c r="W826" s="235"/>
      <c r="X826" s="235"/>
      <c r="Z826" s="30"/>
    </row>
    <row r="827" spans="1:26" ht="15" customHeight="1" x14ac:dyDescent="0.2">
      <c r="C827" s="245"/>
      <c r="D827" s="245"/>
      <c r="E827" s="245"/>
      <c r="F827" s="245"/>
      <c r="G827" s="245"/>
      <c r="H827" s="245"/>
      <c r="I827" s="7"/>
      <c r="J827" s="32"/>
      <c r="K827" s="28"/>
      <c r="L827" s="29"/>
      <c r="Q827" s="235"/>
      <c r="R827" s="235"/>
      <c r="S827" s="235"/>
      <c r="T827" s="235"/>
      <c r="U827" s="235"/>
      <c r="V827" s="235"/>
      <c r="W827" s="235"/>
      <c r="X827" s="235"/>
      <c r="Z827" s="30"/>
    </row>
    <row r="828" spans="1:26" ht="13.9" customHeight="1" x14ac:dyDescent="0.2">
      <c r="I828" s="7"/>
      <c r="J828" s="32"/>
      <c r="K828" s="28"/>
      <c r="L828" s="29"/>
      <c r="Q828" s="235"/>
      <c r="R828" s="235"/>
      <c r="S828" s="235"/>
      <c r="T828" s="235"/>
      <c r="U828" s="235"/>
      <c r="V828" s="235"/>
      <c r="W828" s="235"/>
      <c r="X828" s="235"/>
      <c r="Z828" s="30"/>
    </row>
    <row r="829" spans="1:26" ht="13.9" customHeight="1" x14ac:dyDescent="0.2">
      <c r="A829" s="12" t="str">
        <f>IF(AND(E814="",E815="",E816="",G814="",G815="",G816=""),"",IF(AND(E814="",G814="2xmol",OR(G816="(n2-2x)mol",G816="(n2–2x)mol"),E814="",E815="xmol",OR(E816="(n1+x)mol",E816="(x+n1)mol")),"G","R"))</f>
        <v/>
      </c>
      <c r="B829" s="99" t="s">
        <v>390</v>
      </c>
      <c r="C829" s="264" t="s">
        <v>531</v>
      </c>
      <c r="D829" s="264"/>
      <c r="E829" s="264"/>
      <c r="F829" s="264"/>
      <c r="G829" s="264"/>
      <c r="H829" s="264"/>
      <c r="J829" s="32"/>
      <c r="K829" s="28"/>
      <c r="L829" s="29"/>
      <c r="Q829" s="235" t="str">
        <f>IF(M811&lt;&gt;"Ναι","","Από την εφαρμογή του νόμου της ΧΙ στην αρχ. και τελ. ΚΧΙ θα έχουμε:")</f>
        <v/>
      </c>
      <c r="R829" s="235"/>
      <c r="S829" s="235"/>
      <c r="T829" s="235"/>
      <c r="U829" s="235"/>
      <c r="V829" s="235"/>
      <c r="W829" s="235"/>
      <c r="X829" s="235"/>
      <c r="Z829" s="30"/>
    </row>
    <row r="830" spans="1:26" ht="13.9" customHeight="1" x14ac:dyDescent="0.2">
      <c r="C830" s="264"/>
      <c r="D830" s="264"/>
      <c r="E830" s="264"/>
      <c r="F830" s="264"/>
      <c r="G830" s="264"/>
      <c r="H830" s="264"/>
      <c r="J830" s="32"/>
      <c r="K830" s="28"/>
      <c r="L830" s="29"/>
      <c r="Q830" s="302" t="str">
        <f>IF(M811&lt;&gt;"Ναι","","αρχ. ΚΧΙ:  Kc=[CO]^2/[CO2]=(n/Vα)^2/(n/Vα)=n/Vα=3x/Vα")</f>
        <v/>
      </c>
      <c r="R830" s="302"/>
      <c r="S830" s="302"/>
      <c r="T830" s="302"/>
      <c r="U830" s="302"/>
      <c r="V830" s="302"/>
      <c r="W830" s="302"/>
      <c r="X830" s="302"/>
      <c r="Z830" s="30"/>
    </row>
    <row r="831" spans="1:26" ht="13.9" customHeight="1" x14ac:dyDescent="0.2">
      <c r="C831" s="264"/>
      <c r="D831" s="264"/>
      <c r="E831" s="264"/>
      <c r="F831" s="264"/>
      <c r="G831" s="264"/>
      <c r="H831" s="264"/>
      <c r="J831" s="32"/>
      <c r="K831" s="28"/>
      <c r="L831" s="29"/>
      <c r="Q831" s="297" t="str">
        <f>IF(M811&lt;&gt;"Ναι","","τελ. ΚΧΙ:   Kc=(x/Vτ)^2/(4x/Vτ)=x/4Vτ. Προφανώς θα είναι 3x/Vα=x/4Vτ άρα Vα=12Vτ.")</f>
        <v/>
      </c>
      <c r="R831" s="297"/>
      <c r="S831" s="297"/>
      <c r="T831" s="297"/>
      <c r="U831" s="297"/>
      <c r="V831" s="297"/>
      <c r="W831" s="297"/>
      <c r="X831" s="297"/>
      <c r="Z831" s="30"/>
    </row>
    <row r="832" spans="1:26" ht="13.9" customHeight="1" x14ac:dyDescent="0.2">
      <c r="C832" s="264"/>
      <c r="D832" s="264"/>
      <c r="E832" s="264"/>
      <c r="F832" s="264"/>
      <c r="G832" s="264"/>
      <c r="H832" s="264"/>
      <c r="J832" s="32"/>
      <c r="K832" s="28"/>
      <c r="L832" s="29"/>
      <c r="Q832" s="198"/>
      <c r="R832" s="198"/>
      <c r="S832" s="198"/>
      <c r="T832" s="198"/>
      <c r="U832" s="198"/>
      <c r="V832" s="198"/>
      <c r="W832" s="198"/>
      <c r="X832" s="198"/>
      <c r="Z832" s="30"/>
    </row>
    <row r="833" spans="1:26" ht="13.9" customHeight="1" x14ac:dyDescent="0.2">
      <c r="C833" s="264"/>
      <c r="D833" s="264"/>
      <c r="E833" s="264"/>
      <c r="F833" s="264"/>
      <c r="G833" s="264"/>
      <c r="H833" s="264"/>
      <c r="J833" s="32"/>
      <c r="K833" s="28"/>
      <c r="L833" s="29"/>
      <c r="Q833" s="235" t="str">
        <f>IF(M811&lt;&gt;"Ναι","","Εφαρμόζουμε την καταστατική εξίσωση των ιδανικών αερίων στην αρχ. και τελ. ΚΧΙ.")</f>
        <v/>
      </c>
      <c r="R833" s="235"/>
      <c r="S833" s="235"/>
      <c r="T833" s="235"/>
      <c r="U833" s="235"/>
      <c r="V833" s="235"/>
      <c r="W833" s="235"/>
      <c r="X833" s="235"/>
      <c r="Z833" s="30"/>
    </row>
    <row r="834" spans="1:26" ht="13.9" customHeight="1" x14ac:dyDescent="0.2">
      <c r="C834" s="264"/>
      <c r="D834" s="264"/>
      <c r="E834" s="264"/>
      <c r="F834" s="264"/>
      <c r="G834" s="264"/>
      <c r="H834" s="264"/>
      <c r="J834" s="32"/>
      <c r="K834" s="28"/>
      <c r="L834" s="29"/>
      <c r="Q834" s="309" t="str">
        <f>IF(M811&lt;&gt;"Ναι","","Αρχ. ΚΧΙ:  Pα·Vα=(n+n)·R·T=6xRT  (σχέση Ι). ")</f>
        <v/>
      </c>
      <c r="R834" s="309"/>
      <c r="S834" s="309"/>
      <c r="T834" s="309"/>
      <c r="U834" s="309"/>
      <c r="V834" s="309"/>
      <c r="W834" s="309"/>
      <c r="X834" s="309"/>
      <c r="Z834" s="30"/>
    </row>
    <row r="835" spans="1:26" ht="13.9" customHeight="1" thickBot="1" x14ac:dyDescent="0.25">
      <c r="B835" s="12" t="str">
        <f>IF(H836="","",IF(OR(H836="1:10",H836="1/10"),"G","R"))</f>
        <v/>
      </c>
      <c r="I835" s="7"/>
      <c r="J835" s="32"/>
      <c r="K835" s="28"/>
      <c r="L835" s="29"/>
      <c r="Q835" s="294" t="str">
        <f>IF(M811&lt;&gt;"Ναι","","Τελ. ΚΧΙ:   Pτ·Vτ=(x+4x)·R·T=5xRT (σχέση ΙΙ). ")</f>
        <v/>
      </c>
      <c r="R835" s="294"/>
      <c r="S835" s="294"/>
      <c r="T835" s="294"/>
      <c r="U835" s="294"/>
      <c r="V835" s="294"/>
      <c r="W835" s="294"/>
      <c r="X835" s="294"/>
      <c r="Z835" s="30"/>
    </row>
    <row r="836" spans="1:26" ht="16.149999999999999" customHeight="1" thickTop="1" x14ac:dyDescent="0.2">
      <c r="C836" s="239" t="s">
        <v>166</v>
      </c>
      <c r="D836" s="239"/>
      <c r="E836" s="239"/>
      <c r="F836" s="239"/>
      <c r="G836" s="239"/>
      <c r="H836" s="219"/>
      <c r="I836" s="7"/>
      <c r="J836" s="201" t="str">
        <f>IF(K836="","",IF(K836=35,O17,O24))</f>
        <v/>
      </c>
      <c r="K836" s="203" t="str">
        <f>IF(OR(A829="",B835="",M811="Ναι"),"",SUM(C838:D838))</f>
        <v/>
      </c>
      <c r="L836" s="29"/>
      <c r="O836" s="311">
        <v>35</v>
      </c>
      <c r="Q836" s="235" t="str">
        <f>IF(M811&lt;&gt;"Ναι","","Διαιρώντας τις δυο τελευταίες σχέσεις κατά μέλη, έχουμε…")</f>
        <v/>
      </c>
      <c r="R836" s="235"/>
      <c r="S836" s="235"/>
      <c r="T836" s="235"/>
      <c r="U836" s="235"/>
      <c r="V836" s="235"/>
      <c r="W836" s="235"/>
      <c r="X836" s="235"/>
      <c r="Z836" s="30"/>
    </row>
    <row r="837" spans="1:26" ht="16.149999999999999" customHeight="1" thickBot="1" x14ac:dyDescent="0.25">
      <c r="C837" s="240"/>
      <c r="D837" s="240"/>
      <c r="E837" s="240"/>
      <c r="F837" s="240"/>
      <c r="G837" s="240"/>
      <c r="H837" s="220"/>
      <c r="I837" s="7"/>
      <c r="J837" s="202"/>
      <c r="K837" s="204"/>
      <c r="L837" s="29"/>
      <c r="O837" s="311"/>
      <c r="Q837" s="307" t="str">
        <f>IF(M811&lt;&gt;"Ναι","","(Pα·Vα)/(Pτ·Vτ)=6/5  άρα (Pα·12Vτ)/(Pτ·Vτ)=6/5  άρα 12Pα/Pτ=6/5, οπότε…")</f>
        <v/>
      </c>
      <c r="R837" s="307"/>
      <c r="S837" s="307"/>
      <c r="T837" s="307"/>
      <c r="U837" s="307"/>
      <c r="V837" s="307"/>
      <c r="W837" s="307"/>
      <c r="X837" s="307"/>
      <c r="Z837" s="30"/>
    </row>
    <row r="838" spans="1:26" ht="13.9" customHeight="1" thickTop="1" x14ac:dyDescent="0.2">
      <c r="C838" s="12" t="str">
        <f>IF(OR(G3&lt;&gt;"Επιμέλεια: Τουκμενίδης Μηνάς",A829&lt;&gt;"G"),"",10)</f>
        <v/>
      </c>
      <c r="D838" s="12" t="str">
        <f>IF(B835&lt;&gt;"G","",25)</f>
        <v/>
      </c>
      <c r="I838" s="7"/>
      <c r="J838" s="32"/>
      <c r="K838" s="28"/>
      <c r="L838" s="29"/>
      <c r="Q838" s="2"/>
      <c r="R838" s="2"/>
      <c r="S838" s="2"/>
      <c r="T838" s="2"/>
      <c r="U838" s="2"/>
      <c r="V838" s="2"/>
      <c r="W838" s="2"/>
      <c r="X838" s="2"/>
      <c r="Z838" s="30"/>
    </row>
    <row r="839" spans="1:26" ht="13.9" customHeight="1" x14ac:dyDescent="0.2">
      <c r="I839" s="7"/>
      <c r="J839" s="32"/>
      <c r="K839" s="28"/>
      <c r="L839" s="29"/>
      <c r="Q839" s="308" t="str">
        <f>IF(M811&lt;&gt;"Ναι","","                                              Pα/Pτ=1/10.")</f>
        <v/>
      </c>
      <c r="R839" s="308"/>
      <c r="S839" s="308"/>
      <c r="T839" s="308"/>
      <c r="U839" s="308"/>
      <c r="V839" s="308"/>
      <c r="W839" s="308"/>
      <c r="X839" s="308"/>
      <c r="Z839" s="30"/>
    </row>
    <row r="840" spans="1:26" ht="13.9" customHeight="1" x14ac:dyDescent="0.2">
      <c r="A840" s="40"/>
      <c r="B840" s="40"/>
      <c r="C840" s="40"/>
      <c r="D840" s="40"/>
      <c r="E840" s="40"/>
      <c r="F840" s="40"/>
      <c r="G840" s="40"/>
      <c r="H840" s="40"/>
      <c r="I840" s="40"/>
      <c r="J840" s="28"/>
      <c r="K840" s="28"/>
      <c r="L840" s="29"/>
      <c r="Z840" s="30"/>
    </row>
    <row r="841" spans="1:26" ht="13.9" customHeight="1" thickBot="1" x14ac:dyDescent="0.25">
      <c r="I841" s="7"/>
      <c r="J841" s="32"/>
      <c r="K841" s="28"/>
      <c r="L841" s="29"/>
      <c r="Z841" s="30"/>
    </row>
    <row r="842" spans="1:26" ht="13.9" customHeight="1" thickBot="1" x14ac:dyDescent="0.25">
      <c r="B842" s="35" t="s">
        <v>342</v>
      </c>
      <c r="C842" s="230" t="s">
        <v>474</v>
      </c>
      <c r="D842" s="230"/>
      <c r="E842" s="230"/>
      <c r="F842" s="230"/>
      <c r="G842" s="230"/>
      <c r="H842" s="230"/>
      <c r="I842" s="230"/>
      <c r="J842" s="32"/>
      <c r="K842" s="28"/>
      <c r="L842" s="29"/>
      <c r="M842" s="232" t="s">
        <v>191</v>
      </c>
      <c r="N842" s="233"/>
      <c r="Z842" s="30"/>
    </row>
    <row r="843" spans="1:26" ht="13.9" customHeight="1" thickBot="1" x14ac:dyDescent="0.25">
      <c r="I843" s="7"/>
      <c r="J843" s="32"/>
      <c r="K843" s="28"/>
      <c r="L843" s="29"/>
      <c r="M843" s="232"/>
      <c r="N843" s="233"/>
      <c r="Z843" s="30"/>
    </row>
    <row r="844" spans="1:26" ht="18" customHeight="1" thickTop="1" thickBot="1" x14ac:dyDescent="0.3">
      <c r="B844" s="62" t="s">
        <v>475</v>
      </c>
      <c r="C844" s="120" t="s">
        <v>84</v>
      </c>
      <c r="D844" s="50" t="s">
        <v>368</v>
      </c>
      <c r="E844" s="120" t="s">
        <v>85</v>
      </c>
      <c r="F844" s="69" t="s">
        <v>351</v>
      </c>
      <c r="G844" s="49" t="s">
        <v>86</v>
      </c>
      <c r="H844" s="474" t="s">
        <v>168</v>
      </c>
      <c r="I844" s="474"/>
      <c r="J844" s="32"/>
      <c r="K844" s="28"/>
      <c r="L844" s="29"/>
      <c r="M844" s="227"/>
      <c r="N844" s="228"/>
      <c r="P844" s="295" t="str">
        <f>IF(M844="Ναι","→","")</f>
        <v/>
      </c>
      <c r="Q844" s="296" t="str">
        <f>IF(M844&lt;&gt;"Ναι","","Λύση του προβλήματος 11γ.")</f>
        <v/>
      </c>
      <c r="R844" s="296"/>
      <c r="S844" s="296"/>
      <c r="Z844" s="30"/>
    </row>
    <row r="845" spans="1:26" ht="13.9" customHeight="1" thickTop="1" thickBot="1" x14ac:dyDescent="0.25">
      <c r="I845" s="7"/>
      <c r="J845" s="32"/>
      <c r="K845" s="28"/>
      <c r="L845" s="29"/>
      <c r="M845" s="227"/>
      <c r="N845" s="228"/>
      <c r="P845" s="295"/>
      <c r="Q845" s="235" t="str">
        <f>IF(M844&lt;&gt;"Ναι","","Από όσα αναφέρονται στο κελί C848, γίνεται φανερό ότι μετά την αποκατάσταση των δυο ισορροπιών, στο δοχείο θα περιέχονται:")</f>
        <v/>
      </c>
      <c r="R845" s="235"/>
      <c r="S845" s="235"/>
      <c r="T845" s="235"/>
      <c r="U845" s="235"/>
      <c r="V845" s="235"/>
      <c r="W845" s="235"/>
      <c r="X845" s="235"/>
      <c r="Z845" s="30"/>
    </row>
    <row r="846" spans="1:26" ht="18" customHeight="1" thickTop="1" thickBot="1" x14ac:dyDescent="0.3">
      <c r="B846" s="62" t="s">
        <v>475</v>
      </c>
      <c r="C846" s="120" t="s">
        <v>105</v>
      </c>
      <c r="D846" s="69" t="s">
        <v>351</v>
      </c>
      <c r="E846" s="120" t="s">
        <v>86</v>
      </c>
      <c r="F846" s="50" t="s">
        <v>368</v>
      </c>
      <c r="G846" s="57" t="s">
        <v>161</v>
      </c>
      <c r="H846" s="474" t="s">
        <v>169</v>
      </c>
      <c r="I846" s="474"/>
      <c r="J846" s="32"/>
      <c r="K846" s="28"/>
      <c r="L846" s="29"/>
      <c r="Q846" s="235"/>
      <c r="R846" s="235"/>
      <c r="S846" s="235"/>
      <c r="T846" s="235"/>
      <c r="U846" s="235"/>
      <c r="V846" s="235"/>
      <c r="W846" s="235"/>
      <c r="X846" s="235"/>
      <c r="Z846" s="30"/>
    </row>
    <row r="847" spans="1:26" ht="13.9" customHeight="1" thickTop="1" x14ac:dyDescent="0.2">
      <c r="I847" s="7"/>
      <c r="J847" s="32"/>
      <c r="K847" s="28"/>
      <c r="L847" s="29"/>
      <c r="Q847" s="489" t="str">
        <f>IF(M844&lt;&gt;"Ναι","","CaCO3(s): (1-x)mol
CaO(s): xmol
C(s): (1-y)mol
CO2(g): (x-y)mol  και
CO(g): 2ymol")</f>
        <v/>
      </c>
      <c r="R847" s="489"/>
      <c r="S847" s="489"/>
      <c r="T847" s="489"/>
      <c r="U847" s="489"/>
      <c r="V847" s="489"/>
      <c r="W847" s="489"/>
      <c r="X847" s="489"/>
      <c r="Z847" s="30"/>
    </row>
    <row r="848" spans="1:26" ht="15" customHeight="1" x14ac:dyDescent="0.2">
      <c r="C848" s="245" t="s">
        <v>170</v>
      </c>
      <c r="D848" s="245"/>
      <c r="E848" s="245"/>
      <c r="F848" s="245"/>
      <c r="G848" s="245"/>
      <c r="H848" s="245"/>
      <c r="I848" s="7"/>
      <c r="J848" s="32"/>
      <c r="K848" s="28"/>
      <c r="L848" s="29"/>
      <c r="Q848" s="489"/>
      <c r="R848" s="489"/>
      <c r="S848" s="489"/>
      <c r="T848" s="489"/>
      <c r="U848" s="489"/>
      <c r="V848" s="489"/>
      <c r="W848" s="489"/>
      <c r="X848" s="489"/>
      <c r="Z848" s="30"/>
    </row>
    <row r="849" spans="3:26" ht="15" customHeight="1" x14ac:dyDescent="0.2">
      <c r="C849" s="245"/>
      <c r="D849" s="245"/>
      <c r="E849" s="245"/>
      <c r="F849" s="245"/>
      <c r="G849" s="245"/>
      <c r="H849" s="245"/>
      <c r="I849" s="7"/>
      <c r="J849" s="32"/>
      <c r="K849" s="28"/>
      <c r="L849" s="29"/>
      <c r="Q849" s="489"/>
      <c r="R849" s="489"/>
      <c r="S849" s="489"/>
      <c r="T849" s="489"/>
      <c r="U849" s="489"/>
      <c r="V849" s="489"/>
      <c r="W849" s="489"/>
      <c r="X849" s="489"/>
      <c r="Z849" s="30"/>
    </row>
    <row r="850" spans="3:26" ht="15" customHeight="1" x14ac:dyDescent="0.2">
      <c r="C850" s="245"/>
      <c r="D850" s="245"/>
      <c r="E850" s="245"/>
      <c r="F850" s="245"/>
      <c r="G850" s="245"/>
      <c r="H850" s="245"/>
      <c r="I850" s="7"/>
      <c r="J850" s="32"/>
      <c r="K850" s="28"/>
      <c r="L850" s="29"/>
      <c r="Q850" s="489"/>
      <c r="R850" s="489"/>
      <c r="S850" s="489"/>
      <c r="T850" s="489"/>
      <c r="U850" s="489"/>
      <c r="V850" s="489"/>
      <c r="W850" s="489"/>
      <c r="X850" s="489"/>
      <c r="Z850" s="30"/>
    </row>
    <row r="851" spans="3:26" ht="15" customHeight="1" x14ac:dyDescent="0.2">
      <c r="C851" s="245"/>
      <c r="D851" s="245"/>
      <c r="E851" s="245"/>
      <c r="F851" s="245"/>
      <c r="G851" s="245"/>
      <c r="H851" s="245"/>
      <c r="I851" s="7"/>
      <c r="J851" s="32"/>
      <c r="K851" s="28"/>
      <c r="L851" s="29"/>
      <c r="Q851" s="489"/>
      <c r="R851" s="489"/>
      <c r="S851" s="489"/>
      <c r="T851" s="489"/>
      <c r="U851" s="489"/>
      <c r="V851" s="489"/>
      <c r="W851" s="489"/>
      <c r="X851" s="489"/>
      <c r="Z851" s="30"/>
    </row>
    <row r="852" spans="3:26" ht="15" customHeight="1" x14ac:dyDescent="0.2">
      <c r="C852" s="245"/>
      <c r="D852" s="245"/>
      <c r="E852" s="245"/>
      <c r="F852" s="245"/>
      <c r="G852" s="245"/>
      <c r="H852" s="245"/>
      <c r="I852" s="7"/>
      <c r="J852" s="32"/>
      <c r="K852" s="28"/>
      <c r="L852" s="29"/>
      <c r="Q852" s="302" t="str">
        <f>IF(M844&lt;&gt;"Ναι","","Θα είναι KC1=[CO2]=nCO2/V=0,2M,  άρα  nCO2=0,2·V=0,2·1,2=0,24mol
                                                       άρα θα είναι x–y=0,24.")</f>
        <v/>
      </c>
      <c r="R852" s="302"/>
      <c r="S852" s="302"/>
      <c r="T852" s="302"/>
      <c r="U852" s="302"/>
      <c r="V852" s="302"/>
      <c r="W852" s="302"/>
      <c r="X852" s="302"/>
      <c r="Z852" s="30"/>
    </row>
    <row r="853" spans="3:26" ht="15" customHeight="1" x14ac:dyDescent="0.2">
      <c r="C853" s="245"/>
      <c r="D853" s="245"/>
      <c r="E853" s="245"/>
      <c r="F853" s="245"/>
      <c r="G853" s="245"/>
      <c r="H853" s="245"/>
      <c r="I853" s="7"/>
      <c r="J853" s="32"/>
      <c r="K853" s="28"/>
      <c r="L853" s="29"/>
      <c r="Q853" s="302"/>
      <c r="R853" s="302"/>
      <c r="S853" s="302"/>
      <c r="T853" s="302"/>
      <c r="U853" s="302"/>
      <c r="V853" s="302"/>
      <c r="W853" s="302"/>
      <c r="X853" s="302"/>
      <c r="Z853" s="30"/>
    </row>
    <row r="854" spans="3:26" ht="15" customHeight="1" x14ac:dyDescent="0.2">
      <c r="C854" s="245"/>
      <c r="D854" s="245"/>
      <c r="E854" s="245"/>
      <c r="F854" s="245"/>
      <c r="G854" s="245"/>
      <c r="H854" s="245"/>
      <c r="I854" s="7"/>
      <c r="J854" s="32"/>
      <c r="K854" s="28"/>
      <c r="L854" s="29"/>
      <c r="Q854" s="297" t="str">
        <f>IF(M844&lt;&gt;"Ναι","","Επίσης θα έχουμε KC2=[CO]^2/[CO2],  άρα  [CO]^2=KC2·[CO2],  δηλ.
                           [CO]^2=2·0,2=0,4.")</f>
        <v/>
      </c>
      <c r="R854" s="297"/>
      <c r="S854" s="297"/>
      <c r="T854" s="297"/>
      <c r="U854" s="297"/>
      <c r="V854" s="297"/>
      <c r="W854" s="297"/>
      <c r="X854" s="297"/>
      <c r="Z854" s="30"/>
    </row>
    <row r="855" spans="3:26" ht="15" customHeight="1" x14ac:dyDescent="0.2">
      <c r="C855" s="245"/>
      <c r="D855" s="245"/>
      <c r="E855" s="245"/>
      <c r="F855" s="245"/>
      <c r="G855" s="245"/>
      <c r="H855" s="245"/>
      <c r="I855" s="7"/>
      <c r="J855" s="32"/>
      <c r="K855" s="28"/>
      <c r="L855" s="29"/>
      <c r="Q855" s="297"/>
      <c r="R855" s="297"/>
      <c r="S855" s="297"/>
      <c r="T855" s="297"/>
      <c r="U855" s="297"/>
      <c r="V855" s="297"/>
      <c r="W855" s="297"/>
      <c r="X855" s="297"/>
      <c r="Z855" s="30"/>
    </row>
    <row r="856" spans="3:26" ht="13.9" customHeight="1" thickBot="1" x14ac:dyDescent="0.25">
      <c r="I856" s="7"/>
      <c r="J856" s="32"/>
      <c r="K856" s="28"/>
      <c r="L856" s="29"/>
      <c r="Q856" s="302" t="str">
        <f>IF(M844&lt;&gt;"Ναι","","Από τη σχέση αυτή προκύπτει ότι περίπου είναι [CO]=0,63M=2y/V,  άρα
                           y=0,63·1,2/2=0,378mol.")</f>
        <v/>
      </c>
      <c r="R856" s="302"/>
      <c r="S856" s="302"/>
      <c r="T856" s="302"/>
      <c r="U856" s="302"/>
      <c r="V856" s="302"/>
      <c r="W856" s="302"/>
      <c r="X856" s="302"/>
      <c r="Z856" s="30"/>
    </row>
    <row r="857" spans="3:26" ht="13.9" customHeight="1" thickTop="1" x14ac:dyDescent="0.2">
      <c r="C857" s="418" t="s">
        <v>532</v>
      </c>
      <c r="D857" s="419"/>
      <c r="E857" s="419"/>
      <c r="F857" s="419"/>
      <c r="G857" s="419"/>
      <c r="H857" s="420"/>
      <c r="I857" s="7"/>
      <c r="J857" s="32"/>
      <c r="K857" s="28"/>
      <c r="L857" s="29"/>
      <c r="Q857" s="302"/>
      <c r="R857" s="302"/>
      <c r="S857" s="302"/>
      <c r="T857" s="302"/>
      <c r="U857" s="302"/>
      <c r="V857" s="302"/>
      <c r="W857" s="302"/>
      <c r="X857" s="302"/>
      <c r="Z857" s="30"/>
    </row>
    <row r="858" spans="3:26" ht="13.9" customHeight="1" x14ac:dyDescent="0.2">
      <c r="C858" s="478"/>
      <c r="D858" s="414"/>
      <c r="E858" s="414"/>
      <c r="F858" s="414"/>
      <c r="G858" s="414"/>
      <c r="H858" s="479"/>
      <c r="I858" s="7"/>
      <c r="J858" s="32"/>
      <c r="K858" s="28"/>
      <c r="L858" s="29"/>
      <c r="Q858" s="297" t="str">
        <f>IF(M844&lt;&gt;"Ναι","","Αφού παραπάνω βρήκαμε ότι  x–y=0,24   θα είναι προφανώς…
                           x=y+0,24=0,378+0,24=0,618mol.")</f>
        <v/>
      </c>
      <c r="R858" s="297"/>
      <c r="S858" s="297"/>
      <c r="T858" s="297"/>
      <c r="U858" s="297"/>
      <c r="V858" s="297"/>
      <c r="W858" s="297"/>
      <c r="X858" s="297"/>
      <c r="Z858" s="30"/>
    </row>
    <row r="859" spans="3:26" ht="13.9" customHeight="1" thickBot="1" x14ac:dyDescent="0.25">
      <c r="C859" s="421"/>
      <c r="D859" s="422"/>
      <c r="E859" s="422"/>
      <c r="F859" s="422"/>
      <c r="G859" s="422"/>
      <c r="H859" s="423"/>
      <c r="I859" s="7"/>
      <c r="J859" s="32"/>
      <c r="K859" s="28"/>
      <c r="L859" s="29"/>
      <c r="Q859" s="297"/>
      <c r="R859" s="297"/>
      <c r="S859" s="297"/>
      <c r="T859" s="297"/>
      <c r="U859" s="297"/>
      <c r="V859" s="297"/>
      <c r="W859" s="297"/>
      <c r="X859" s="297"/>
      <c r="Z859" s="30"/>
    </row>
    <row r="860" spans="3:26" ht="13.9" customHeight="1" thickTop="1" thickBot="1" x14ac:dyDescent="0.25">
      <c r="I860" s="7"/>
      <c r="J860" s="32"/>
      <c r="K860" s="28"/>
      <c r="L860" s="29"/>
      <c r="Q860" s="235" t="str">
        <f>IF(M844&lt;&gt;"Ναι","","Από τα παραπάνω προκύπτει ότι στην ΚΧΙ στο δοχείο θα περιέχονται…")</f>
        <v/>
      </c>
      <c r="R860" s="235"/>
      <c r="S860" s="235"/>
      <c r="T860" s="235"/>
      <c r="U860" s="235"/>
      <c r="V860" s="235"/>
      <c r="W860" s="235"/>
      <c r="X860" s="235"/>
      <c r="Z860" s="30"/>
    </row>
    <row r="861" spans="3:26" ht="16.149999999999999" customHeight="1" thickTop="1" thickBot="1" x14ac:dyDescent="0.3">
      <c r="D861" s="475" t="s">
        <v>337</v>
      </c>
      <c r="E861" s="118" t="s">
        <v>106</v>
      </c>
      <c r="F861" s="477"/>
      <c r="G861" s="477"/>
      <c r="H861" s="12" t="str">
        <f>IF(F861="","",IF(OR(F861="(1–x)mol",F861="(1-x)mol"),"G","R"))</f>
        <v/>
      </c>
      <c r="I861" s="7"/>
      <c r="J861" s="32"/>
      <c r="K861" s="28"/>
      <c r="L861" s="29"/>
      <c r="Q861" s="235"/>
      <c r="R861" s="235"/>
      <c r="S861" s="235"/>
      <c r="T861" s="235"/>
      <c r="U861" s="235"/>
      <c r="V861" s="235"/>
      <c r="W861" s="235"/>
      <c r="X861" s="235"/>
      <c r="Z861" s="30"/>
    </row>
    <row r="862" spans="3:26" ht="16.149999999999999" customHeight="1" thickTop="1" thickBot="1" x14ac:dyDescent="0.3">
      <c r="D862" s="476"/>
      <c r="E862" s="118" t="s">
        <v>107</v>
      </c>
      <c r="F862" s="477"/>
      <c r="G862" s="477"/>
      <c r="H862" s="12" t="str">
        <f>IF(F862="","",IF(F862="xmol","G","R"))</f>
        <v/>
      </c>
      <c r="I862" s="7"/>
      <c r="J862" s="32"/>
      <c r="K862" s="28"/>
      <c r="L862" s="29"/>
      <c r="Q862" s="515" t="str">
        <f>IF(M844&lt;&gt;"Ναι","","CaCO3(s): (1-0,618)mol=0,382mol
CaO(s): 0,618mol
C(s): (1-0,378)mol=0,622mol
CO2(g): (x-y)mol=0,24mol  και
CO(g): 2·0,378mol=0,756mol.")</f>
        <v/>
      </c>
      <c r="R862" s="515"/>
      <c r="S862" s="515"/>
      <c r="T862" s="515"/>
      <c r="U862" s="515"/>
      <c r="V862" s="515"/>
      <c r="W862" s="515"/>
      <c r="X862" s="515"/>
      <c r="Z862" s="30"/>
    </row>
    <row r="863" spans="3:26" ht="16.149999999999999" customHeight="1" thickTop="1" thickBot="1" x14ac:dyDescent="0.3">
      <c r="C863" s="12" t="str">
        <f>IF(F863="","",IF(OR(F863="(1–y)mol",F863="(1-y)mol"),"G","R"))</f>
        <v/>
      </c>
      <c r="D863" s="476"/>
      <c r="E863" s="118" t="s">
        <v>108</v>
      </c>
      <c r="F863" s="477"/>
      <c r="G863" s="477"/>
      <c r="I863" s="7"/>
      <c r="J863" s="32"/>
      <c r="K863" s="28"/>
      <c r="L863" s="29"/>
      <c r="Q863" s="515"/>
      <c r="R863" s="515"/>
      <c r="S863" s="515"/>
      <c r="T863" s="515"/>
      <c r="U863" s="515"/>
      <c r="V863" s="515"/>
      <c r="W863" s="515"/>
      <c r="X863" s="515"/>
      <c r="Z863" s="30"/>
    </row>
    <row r="864" spans="3:26" ht="16.149999999999999" customHeight="1" thickTop="1" thickBot="1" x14ac:dyDescent="0.3">
      <c r="C864" s="12" t="str">
        <f>IF(F864="","",IF(F864="2ymol","G","R"))</f>
        <v/>
      </c>
      <c r="D864" s="476"/>
      <c r="E864" s="118" t="s">
        <v>104</v>
      </c>
      <c r="F864" s="477"/>
      <c r="G864" s="477"/>
      <c r="I864" s="7"/>
      <c r="J864" s="32"/>
      <c r="K864" s="28"/>
      <c r="L864" s="29"/>
      <c r="Q864" s="515"/>
      <c r="R864" s="515"/>
      <c r="S864" s="515"/>
      <c r="T864" s="515"/>
      <c r="U864" s="515"/>
      <c r="V864" s="515"/>
      <c r="W864" s="515"/>
      <c r="X864" s="515"/>
      <c r="Z864" s="30"/>
    </row>
    <row r="865" spans="2:26" ht="16.149999999999999" customHeight="1" thickTop="1" thickBot="1" x14ac:dyDescent="0.3">
      <c r="C865" s="12" t="str">
        <f>IF(F865="","",IF(OR(F865="(x–y)mol",F865="(x-y)mol"),"G","R"))</f>
        <v/>
      </c>
      <c r="D865" s="476"/>
      <c r="E865" s="118" t="s">
        <v>103</v>
      </c>
      <c r="F865" s="477"/>
      <c r="G865" s="477"/>
      <c r="I865" s="7"/>
      <c r="J865" s="32"/>
      <c r="K865" s="28"/>
      <c r="L865" s="29"/>
      <c r="Q865" s="515"/>
      <c r="R865" s="515"/>
      <c r="S865" s="515"/>
      <c r="T865" s="515"/>
      <c r="U865" s="515"/>
      <c r="V865" s="515"/>
      <c r="W865" s="515"/>
      <c r="X865" s="515"/>
      <c r="Z865" s="30"/>
    </row>
    <row r="866" spans="2:26" ht="13.9" customHeight="1" thickTop="1" thickBot="1" x14ac:dyDescent="0.25">
      <c r="I866" s="7"/>
      <c r="J866" s="32"/>
      <c r="K866" s="28"/>
      <c r="L866" s="29"/>
      <c r="Q866" s="515"/>
      <c r="R866" s="515"/>
      <c r="S866" s="515"/>
      <c r="T866" s="515"/>
      <c r="U866" s="515"/>
      <c r="V866" s="515"/>
      <c r="W866" s="515"/>
      <c r="X866" s="515"/>
      <c r="Z866" s="30"/>
    </row>
    <row r="867" spans="2:26" ht="15" customHeight="1" thickTop="1" x14ac:dyDescent="0.2">
      <c r="B867" s="12" t="str">
        <f>IF(H867=G$145:G$65525,"",IF(OR(H867="0,2mol/L",H867="0,2M",H867="Μ"),"G","R"))</f>
        <v/>
      </c>
      <c r="C867" s="239" t="s">
        <v>173</v>
      </c>
      <c r="D867" s="239"/>
      <c r="E867" s="239"/>
      <c r="F867" s="239"/>
      <c r="G867" s="239"/>
      <c r="H867" s="219"/>
      <c r="I867" s="7"/>
      <c r="J867" s="32"/>
      <c r="K867" s="28"/>
      <c r="L867" s="29"/>
      <c r="Z867" s="30"/>
    </row>
    <row r="868" spans="2:26" ht="15" customHeight="1" thickBot="1" x14ac:dyDescent="0.25">
      <c r="C868" s="240"/>
      <c r="D868" s="240"/>
      <c r="E868" s="240"/>
      <c r="F868" s="240"/>
      <c r="G868" s="240"/>
      <c r="H868" s="220"/>
      <c r="I868" s="7"/>
      <c r="J868" s="32"/>
      <c r="K868" s="28"/>
      <c r="L868" s="29"/>
      <c r="Z868" s="30"/>
    </row>
    <row r="869" spans="2:26" ht="13.9" customHeight="1" thickTop="1" thickBot="1" x14ac:dyDescent="0.25">
      <c r="I869" s="7"/>
      <c r="J869" s="32"/>
      <c r="K869" s="28"/>
      <c r="L869" s="29"/>
      <c r="Z869" s="30"/>
    </row>
    <row r="870" spans="2:26" ht="15" customHeight="1" thickTop="1" x14ac:dyDescent="0.2">
      <c r="B870" s="12" t="str">
        <f>IF(H870=G$145:G$65525,"",IF(OR(H870="0,63mol/L",H870="0,63M",H870="0,63Μ"),"G","R"))</f>
        <v/>
      </c>
      <c r="C870" s="239" t="s">
        <v>174</v>
      </c>
      <c r="D870" s="239"/>
      <c r="E870" s="239"/>
      <c r="F870" s="239"/>
      <c r="G870" s="239"/>
      <c r="H870" s="219"/>
      <c r="I870" s="7"/>
      <c r="J870" s="32"/>
      <c r="K870" s="28"/>
      <c r="L870" s="29"/>
      <c r="Z870" s="30"/>
    </row>
    <row r="871" spans="2:26" ht="15" customHeight="1" thickBot="1" x14ac:dyDescent="0.25">
      <c r="C871" s="240"/>
      <c r="D871" s="240"/>
      <c r="E871" s="240"/>
      <c r="F871" s="240"/>
      <c r="G871" s="240"/>
      <c r="H871" s="220"/>
      <c r="I871" s="7"/>
      <c r="J871" s="32"/>
      <c r="K871" s="28"/>
      <c r="L871" s="29"/>
      <c r="Z871" s="30"/>
    </row>
    <row r="872" spans="2:26" ht="13.9" customHeight="1" thickTop="1" thickBot="1" x14ac:dyDescent="0.25">
      <c r="I872" s="7"/>
      <c r="J872" s="32"/>
      <c r="K872" s="28"/>
      <c r="L872" s="29"/>
      <c r="Z872" s="30"/>
    </row>
    <row r="873" spans="2:26" ht="16.149999999999999" customHeight="1" thickTop="1" thickBot="1" x14ac:dyDescent="0.25">
      <c r="B873" s="12" t="str">
        <f>IF(H873=G$145:G$65525,"",IF(H873="0,24mol","G","R"))</f>
        <v/>
      </c>
      <c r="C873" s="367" t="s">
        <v>175</v>
      </c>
      <c r="D873" s="367"/>
      <c r="E873" s="367"/>
      <c r="F873" s="367"/>
      <c r="G873" s="367"/>
      <c r="H873" s="146"/>
      <c r="I873" s="7"/>
      <c r="J873" s="32"/>
      <c r="K873" s="28"/>
      <c r="L873" s="29"/>
      <c r="Z873" s="30"/>
    </row>
    <row r="874" spans="2:26" ht="13.9" customHeight="1" thickTop="1" thickBot="1" x14ac:dyDescent="0.25">
      <c r="I874" s="7"/>
      <c r="J874" s="32"/>
      <c r="K874" s="28"/>
      <c r="L874" s="29"/>
      <c r="Z874" s="30"/>
    </row>
    <row r="875" spans="2:26" ht="16.149999999999999" customHeight="1" thickTop="1" thickBot="1" x14ac:dyDescent="0.25">
      <c r="B875" s="12" t="str">
        <f>IF(H875=G$145:G$65525,"",IF(H875="0,756mol","G","R"))</f>
        <v/>
      </c>
      <c r="C875" s="367" t="s">
        <v>176</v>
      </c>
      <c r="D875" s="367"/>
      <c r="E875" s="367"/>
      <c r="F875" s="367"/>
      <c r="G875" s="367"/>
      <c r="H875" s="146"/>
      <c r="I875" s="7"/>
      <c r="J875" s="32"/>
      <c r="K875" s="28"/>
      <c r="L875" s="29"/>
      <c r="Z875" s="30"/>
    </row>
    <row r="876" spans="2:26" ht="13.9" customHeight="1" thickTop="1" thickBot="1" x14ac:dyDescent="0.25">
      <c r="I876" s="7"/>
      <c r="J876" s="32"/>
      <c r="K876" s="28"/>
      <c r="L876" s="29"/>
      <c r="Z876" s="30"/>
    </row>
    <row r="877" spans="2:26" ht="16.149999999999999" customHeight="1" thickTop="1" thickBot="1" x14ac:dyDescent="0.25">
      <c r="B877" s="12" t="str">
        <f>IF(H877=G$145:G$65525,"",IF(H877="0,382mol","G","R"))</f>
        <v/>
      </c>
      <c r="C877" s="325" t="s">
        <v>177</v>
      </c>
      <c r="D877" s="325"/>
      <c r="E877" s="325"/>
      <c r="F877" s="325"/>
      <c r="G877" s="325"/>
      <c r="H877" s="146"/>
      <c r="I877" s="7"/>
      <c r="J877" s="32"/>
      <c r="K877" s="28"/>
      <c r="L877" s="29"/>
      <c r="Z877" s="30"/>
    </row>
    <row r="878" spans="2:26" ht="13.9" customHeight="1" thickTop="1" thickBot="1" x14ac:dyDescent="0.25">
      <c r="I878" s="7"/>
      <c r="J878" s="32"/>
      <c r="K878" s="28"/>
      <c r="L878" s="29"/>
      <c r="Z878" s="30"/>
    </row>
    <row r="879" spans="2:26" ht="16.149999999999999" customHeight="1" thickTop="1" thickBot="1" x14ac:dyDescent="0.25">
      <c r="B879" s="12" t="str">
        <f>IF(H879=G$145:G$65525,"",IF(H879="0,618mol","G","R"))</f>
        <v/>
      </c>
      <c r="C879" s="325" t="s">
        <v>178</v>
      </c>
      <c r="D879" s="325"/>
      <c r="E879" s="325"/>
      <c r="F879" s="325"/>
      <c r="G879" s="325"/>
      <c r="H879" s="146"/>
      <c r="I879" s="7"/>
      <c r="J879" s="32"/>
      <c r="K879" s="28"/>
      <c r="L879" s="29"/>
      <c r="Z879" s="30"/>
    </row>
    <row r="880" spans="2:26" ht="13.9" customHeight="1" thickTop="1" thickBot="1" x14ac:dyDescent="0.25">
      <c r="I880" s="7"/>
      <c r="J880" s="243" t="str">
        <f>IF(K880="","",IF(K880=70,"ΟΥΑΟΥ!.","ΧΜΜ!.."))</f>
        <v/>
      </c>
      <c r="K880" s="203" t="str">
        <f>IF(OR(B881="",B879="",B877="",B875="",B873="",B870="",B867="",C865="",C864="",C863="",H861="",H862="",M844="Ναι"),"",SUM(A882:F883))</f>
        <v/>
      </c>
      <c r="L880" s="29"/>
      <c r="O880" s="311">
        <v>75</v>
      </c>
      <c r="Z880" s="30"/>
    </row>
    <row r="881" spans="1:26" ht="16.149999999999999" customHeight="1" thickTop="1" thickBot="1" x14ac:dyDescent="0.25">
      <c r="B881" s="12" t="str">
        <f>IF(H881=G$145:G$65525,"",IF(H881="0,622mol","G","R"))</f>
        <v/>
      </c>
      <c r="C881" s="325" t="s">
        <v>179</v>
      </c>
      <c r="D881" s="325"/>
      <c r="E881" s="325"/>
      <c r="F881" s="325"/>
      <c r="G881" s="325"/>
      <c r="H881" s="146"/>
      <c r="I881" s="7"/>
      <c r="J881" s="244"/>
      <c r="K881" s="204"/>
      <c r="L881" s="29"/>
      <c r="O881" s="311"/>
      <c r="Z881" s="30"/>
    </row>
    <row r="882" spans="1:26" ht="13.9" customHeight="1" thickTop="1" x14ac:dyDescent="0.2">
      <c r="A882" s="12" t="str">
        <f>IF(H861&lt;&gt;"G","",2)</f>
        <v/>
      </c>
      <c r="B882" s="12" t="str">
        <f>IF(H862&lt;&gt;"G","",2)</f>
        <v/>
      </c>
      <c r="C882" s="12" t="str">
        <f>IF(C863&lt;&gt;"G","",2)</f>
        <v/>
      </c>
      <c r="D882" s="12" t="str">
        <f>IF(C864&lt;&gt;"G","",5)</f>
        <v/>
      </c>
      <c r="E882" s="12" t="str">
        <f>IF(C865&lt;&gt;"G","",6)</f>
        <v/>
      </c>
      <c r="F882" s="12" t="str">
        <f>IF(B867&lt;&gt;"G","",10)</f>
        <v/>
      </c>
      <c r="I882" s="7"/>
      <c r="J882" s="32"/>
      <c r="K882" s="28"/>
      <c r="L882" s="29"/>
      <c r="Z882" s="30"/>
    </row>
    <row r="883" spans="1:26" ht="13.9" customHeight="1" x14ac:dyDescent="0.2">
      <c r="A883" s="45" t="str">
        <f>IF(B870&lt;&gt;"G","",10)</f>
        <v/>
      </c>
      <c r="B883" s="45" t="str">
        <f>IF(B875&lt;&gt;"G","",10)</f>
        <v/>
      </c>
      <c r="C883" s="45" t="str">
        <f>IF(B873&lt;&gt;"G","",6)</f>
        <v/>
      </c>
      <c r="D883" s="45" t="str">
        <f>IF(B877&lt;&gt;"G","",6)</f>
        <v/>
      </c>
      <c r="E883" s="45" t="str">
        <f>IF(B879&lt;&gt;"G","",6)</f>
        <v/>
      </c>
      <c r="F883" s="45" t="str">
        <f>IF(B881&lt;&gt;"G","",5)</f>
        <v/>
      </c>
      <c r="G883" s="40"/>
      <c r="H883" s="40"/>
      <c r="I883" s="40"/>
      <c r="J883" s="28"/>
      <c r="K883" s="28"/>
      <c r="L883" s="29"/>
      <c r="Z883" s="30"/>
    </row>
    <row r="884" spans="1:26" ht="13.9" customHeight="1" thickBot="1" x14ac:dyDescent="0.25">
      <c r="I884" s="7"/>
      <c r="J884" s="32"/>
      <c r="K884" s="28"/>
      <c r="L884" s="29"/>
      <c r="Z884" s="30"/>
    </row>
    <row r="885" spans="1:26" ht="13.9" customHeight="1" thickBot="1" x14ac:dyDescent="0.25">
      <c r="B885" s="35" t="s">
        <v>343</v>
      </c>
      <c r="C885" s="245" t="s">
        <v>180</v>
      </c>
      <c r="D885" s="245"/>
      <c r="E885" s="245"/>
      <c r="F885" s="245"/>
      <c r="G885" s="245"/>
      <c r="H885" s="245"/>
      <c r="I885" s="245"/>
      <c r="J885" s="32"/>
      <c r="K885" s="28"/>
      <c r="L885" s="29"/>
      <c r="M885" s="232" t="s">
        <v>195</v>
      </c>
      <c r="N885" s="233"/>
      <c r="Z885" s="30"/>
    </row>
    <row r="886" spans="1:26" ht="13.9" customHeight="1" thickBot="1" x14ac:dyDescent="0.25">
      <c r="C886" s="245"/>
      <c r="D886" s="245"/>
      <c r="E886" s="245"/>
      <c r="F886" s="245"/>
      <c r="G886" s="245"/>
      <c r="H886" s="245"/>
      <c r="I886" s="245"/>
      <c r="J886" s="32"/>
      <c r="K886" s="28"/>
      <c r="L886" s="29"/>
      <c r="M886" s="232"/>
      <c r="N886" s="233"/>
      <c r="Z886" s="30"/>
    </row>
    <row r="887" spans="1:26" ht="13.9" customHeight="1" thickBot="1" x14ac:dyDescent="0.25">
      <c r="C887" s="245"/>
      <c r="D887" s="245"/>
      <c r="E887" s="245"/>
      <c r="F887" s="245"/>
      <c r="G887" s="245"/>
      <c r="H887" s="245"/>
      <c r="I887" s="245"/>
      <c r="J887" s="32"/>
      <c r="K887" s="28"/>
      <c r="L887" s="29"/>
      <c r="M887" s="227"/>
      <c r="N887" s="228"/>
      <c r="P887" s="295" t="str">
        <f>IF(M887="Ναι","→","")</f>
        <v/>
      </c>
      <c r="Q887" s="296" t="str">
        <f>IF(M887&lt;&gt;"Ναι","","Λύση του προβλήματος 11δ.")</f>
        <v/>
      </c>
      <c r="R887" s="296"/>
      <c r="S887" s="296"/>
      <c r="Z887" s="30"/>
    </row>
    <row r="888" spans="1:26" ht="13.9" customHeight="1" thickBot="1" x14ac:dyDescent="0.25">
      <c r="C888" s="245"/>
      <c r="D888" s="245"/>
      <c r="E888" s="245"/>
      <c r="F888" s="245"/>
      <c r="G888" s="245"/>
      <c r="H888" s="245"/>
      <c r="I888" s="245"/>
      <c r="J888" s="32"/>
      <c r="K888" s="28"/>
      <c r="L888" s="29"/>
      <c r="M888" s="227"/>
      <c r="N888" s="228"/>
      <c r="P888" s="295"/>
      <c r="Q888" s="235" t="str">
        <f>IF(M887&lt;&gt;"Ναι","","Μέσα στο δοχείο αποκαθίσταται ΧΙ και για τις δυο αμφίδρομες αντιδράσεις, που αποδί- δονται με τις χημικές εξισώσεις που ακολουθούν.")</f>
        <v/>
      </c>
      <c r="R888" s="235"/>
      <c r="S888" s="235"/>
      <c r="T888" s="235"/>
      <c r="U888" s="235"/>
      <c r="V888" s="235"/>
      <c r="W888" s="235"/>
      <c r="X888" s="235"/>
      <c r="Z888" s="30"/>
    </row>
    <row r="889" spans="1:26" ht="13.9" customHeight="1" x14ac:dyDescent="0.2">
      <c r="C889" s="245"/>
      <c r="D889" s="245"/>
      <c r="E889" s="245"/>
      <c r="F889" s="245"/>
      <c r="G889" s="245"/>
      <c r="H889" s="245"/>
      <c r="I889" s="245"/>
      <c r="J889" s="32"/>
      <c r="K889" s="28"/>
      <c r="L889" s="29"/>
      <c r="Q889" s="235"/>
      <c r="R889" s="235"/>
      <c r="S889" s="235"/>
      <c r="T889" s="235"/>
      <c r="U889" s="235"/>
      <c r="V889" s="235"/>
      <c r="W889" s="235"/>
      <c r="X889" s="235"/>
      <c r="Z889" s="30"/>
    </row>
    <row r="890" spans="1:26" ht="13.9" customHeight="1" x14ac:dyDescent="0.2">
      <c r="C890" s="245"/>
      <c r="D890" s="245"/>
      <c r="E890" s="245"/>
      <c r="F890" s="245"/>
      <c r="G890" s="245"/>
      <c r="H890" s="245"/>
      <c r="I890" s="245"/>
      <c r="J890" s="32"/>
      <c r="K890" s="28"/>
      <c r="L890" s="29"/>
      <c r="Q890" s="235" t="str">
        <f>IF(M887&lt;&gt;"Ναι","","Από τα πέντε αέρια που θα περιέχονται στο δοχείο στην ΚΧΙ, το ένα και συγκεκριμένα το Cl2, συμμετέχει ταυτόχρονα και στις δυο ισορροπίες. 
Συμπληρώνουμε τα πινακάκια κατά τα γνωστά.")</f>
        <v/>
      </c>
      <c r="R890" s="235"/>
      <c r="S890" s="235"/>
      <c r="T890" s="235"/>
      <c r="U890" s="235"/>
      <c r="V890" s="235"/>
      <c r="W890" s="235"/>
      <c r="X890" s="235"/>
      <c r="Z890" s="30"/>
    </row>
    <row r="891" spans="1:26" ht="13.9" customHeight="1" x14ac:dyDescent="0.2">
      <c r="C891" s="245"/>
      <c r="D891" s="245"/>
      <c r="E891" s="245"/>
      <c r="F891" s="245"/>
      <c r="G891" s="245"/>
      <c r="H891" s="245"/>
      <c r="I891" s="245"/>
      <c r="J891" s="32"/>
      <c r="K891" s="28"/>
      <c r="L891" s="29"/>
      <c r="Q891" s="235"/>
      <c r="R891" s="235"/>
      <c r="S891" s="235"/>
      <c r="T891" s="235"/>
      <c r="U891" s="235"/>
      <c r="V891" s="235"/>
      <c r="W891" s="235"/>
      <c r="X891" s="235"/>
      <c r="Z891" s="30"/>
    </row>
    <row r="892" spans="1:26" ht="13.9" customHeight="1" x14ac:dyDescent="0.2">
      <c r="I892" s="7"/>
      <c r="J892" s="32"/>
      <c r="K892" s="28"/>
      <c r="L892" s="29"/>
      <c r="Q892" s="235"/>
      <c r="R892" s="235"/>
      <c r="S892" s="235"/>
      <c r="T892" s="235"/>
      <c r="U892" s="235"/>
      <c r="V892" s="235"/>
      <c r="W892" s="235"/>
      <c r="X892" s="235"/>
      <c r="Z892" s="30"/>
    </row>
    <row r="893" spans="1:26" ht="18" customHeight="1" x14ac:dyDescent="0.25">
      <c r="A893" s="25"/>
      <c r="C893" s="126"/>
      <c r="D893" s="59" t="s">
        <v>229</v>
      </c>
      <c r="E893" s="50" t="s">
        <v>368</v>
      </c>
      <c r="F893" s="120" t="s">
        <v>230</v>
      </c>
      <c r="G893" s="74" t="s">
        <v>351</v>
      </c>
      <c r="H893" s="91" t="s">
        <v>115</v>
      </c>
      <c r="I893" s="52"/>
      <c r="J893" s="32"/>
      <c r="K893" s="28"/>
      <c r="L893" s="29"/>
      <c r="Q893" s="5"/>
      <c r="R893" s="18" t="str">
        <f>IF(M$887&lt;&gt;"Ναι","","COCl2(g)")</f>
        <v/>
      </c>
      <c r="S893" s="16" t="str">
        <f>IF(M$887&lt;&gt;"Ναι","","D")</f>
        <v/>
      </c>
      <c r="T893" s="18" t="str">
        <f>IF(M$887&lt;&gt;"Ναι","","CO(g)")</f>
        <v/>
      </c>
      <c r="U893" s="17" t="str">
        <f>IF(M$887&lt;&gt;"Ναι","","+")</f>
        <v/>
      </c>
      <c r="V893" s="18" t="str">
        <f>IF(M$887&lt;&gt;"Ναι","","Cl2(g)")</f>
        <v/>
      </c>
      <c r="W893" s="5"/>
      <c r="Z893" s="30"/>
    </row>
    <row r="894" spans="1:26" ht="13.9" customHeight="1" thickBot="1" x14ac:dyDescent="0.25">
      <c r="I894" s="7"/>
      <c r="J894" s="32"/>
      <c r="K894" s="28"/>
      <c r="L894" s="29"/>
      <c r="Z894" s="30"/>
    </row>
    <row r="895" spans="1:26" ht="13.9" customHeight="1" thickTop="1" thickBot="1" x14ac:dyDescent="0.25">
      <c r="C895" s="66" t="s">
        <v>369</v>
      </c>
      <c r="D895" s="64" t="s">
        <v>373</v>
      </c>
      <c r="E895" s="213" t="s">
        <v>368</v>
      </c>
      <c r="F895" s="65"/>
      <c r="G895" s="214" t="s">
        <v>351</v>
      </c>
      <c r="H895" s="65"/>
      <c r="I895" s="7"/>
      <c r="J895" s="32"/>
      <c r="K895" s="28"/>
      <c r="L895" s="29"/>
      <c r="Q895" s="159" t="str">
        <f>IF(M$887&lt;&gt;"Ναι","","αρχικά")</f>
        <v/>
      </c>
      <c r="R895" s="14" t="str">
        <f>IF(M$887&lt;&gt;"Ναι","","6mol")</f>
        <v/>
      </c>
      <c r="S895" s="289" t="str">
        <f>IF(M$887&lt;&gt;"Ναι","","D")</f>
        <v/>
      </c>
      <c r="T895" s="7"/>
      <c r="U895" s="288" t="str">
        <f>IF(M$887&lt;&gt;"Ναι","","+")</f>
        <v/>
      </c>
      <c r="V895" s="7"/>
      <c r="W895" s="7"/>
      <c r="X895" s="7"/>
      <c r="Z895" s="30"/>
    </row>
    <row r="896" spans="1:26" ht="13.9" customHeight="1" thickTop="1" thickBot="1" x14ac:dyDescent="0.25">
      <c r="C896" s="66" t="s">
        <v>372</v>
      </c>
      <c r="D896" s="64" t="s">
        <v>381</v>
      </c>
      <c r="E896" s="213"/>
      <c r="F896" s="75"/>
      <c r="G896" s="214"/>
      <c r="H896" s="75"/>
      <c r="I896" s="7"/>
      <c r="J896" s="32"/>
      <c r="K896" s="28"/>
      <c r="L896" s="29"/>
      <c r="Q896" s="159" t="str">
        <f>IF(M$887&lt;&gt;"Ναι","","αντέδρασαν")</f>
        <v/>
      </c>
      <c r="R896" s="14" t="str">
        <f>IF(M$887&lt;&gt;"Ναι","","xmol")</f>
        <v/>
      </c>
      <c r="S896" s="289"/>
      <c r="T896" s="7"/>
      <c r="U896" s="288"/>
      <c r="V896" s="7"/>
      <c r="W896" s="7"/>
      <c r="X896" s="7"/>
      <c r="Z896" s="30"/>
    </row>
    <row r="897" spans="2:26" ht="13.9" customHeight="1" thickTop="1" thickBot="1" x14ac:dyDescent="0.25">
      <c r="C897" s="66" t="s">
        <v>370</v>
      </c>
      <c r="D897" s="72"/>
      <c r="E897" s="213"/>
      <c r="F897" s="146"/>
      <c r="G897" s="214"/>
      <c r="H897" s="146"/>
      <c r="I897" s="7"/>
      <c r="J897" s="32"/>
      <c r="K897" s="28"/>
      <c r="L897" s="29"/>
      <c r="Q897" s="159" t="str">
        <f>IF(M$887&lt;&gt;"Ναι","","παράχθηκαν")</f>
        <v/>
      </c>
      <c r="R897" s="10"/>
      <c r="S897" s="289"/>
      <c r="T897" s="23" t="str">
        <f>IF(M$887&lt;&gt;"Ναι","","xmol")</f>
        <v/>
      </c>
      <c r="U897" s="288"/>
      <c r="V897" s="23" t="str">
        <f>IF(M$887&lt;&gt;"Ναι","","xmol")</f>
        <v/>
      </c>
      <c r="W897" s="7"/>
      <c r="X897" s="7"/>
      <c r="Z897" s="30"/>
    </row>
    <row r="898" spans="2:26" ht="15.95" customHeight="1" thickTop="1" thickBot="1" x14ac:dyDescent="0.25">
      <c r="B898" s="62" t="s">
        <v>376</v>
      </c>
      <c r="C898" s="73" t="s">
        <v>371</v>
      </c>
      <c r="D898" s="146"/>
      <c r="E898" s="213"/>
      <c r="F898" s="146"/>
      <c r="G898" s="214"/>
      <c r="H898" s="139" t="s">
        <v>470</v>
      </c>
      <c r="I898" s="356" t="s">
        <v>182</v>
      </c>
      <c r="J898" s="357"/>
      <c r="K898" s="28"/>
      <c r="L898" s="29"/>
      <c r="Q898" s="156" t="str">
        <f>IF(M$887&lt;&gt;"Ναι","","ΚΧΙ")</f>
        <v/>
      </c>
      <c r="R898" s="158" t="str">
        <f>IF(M$887&lt;&gt;"Ναι","","(6-x)mol")</f>
        <v/>
      </c>
      <c r="S898" s="289"/>
      <c r="T898" s="163" t="str">
        <f>IF(M$887&lt;&gt;"Ναι","","xmol")</f>
        <v/>
      </c>
      <c r="U898" s="288"/>
      <c r="V898" s="24" t="str">
        <f>IF(M$887&lt;&gt;"Ναι","","?")</f>
        <v/>
      </c>
      <c r="W898" s="314" t="str">
        <f>IF(M$887&lt;&gt;"Ναι","","CO: γ12=1/15")</f>
        <v/>
      </c>
      <c r="X898" s="314"/>
      <c r="Z898" s="30"/>
    </row>
    <row r="899" spans="2:26" ht="13.9" customHeight="1" thickTop="1" x14ac:dyDescent="0.2">
      <c r="B899" s="516" t="str">
        <f>IF(OR(D898="",F897="",F898="",H897=""),"",IF(AND(D898="(6-x)mol",F897="xmol",F898="xmol",H897="xmol"),"G","R"))</f>
        <v/>
      </c>
      <c r="I899" s="7"/>
      <c r="J899" s="32"/>
      <c r="K899" s="28"/>
      <c r="L899" s="29"/>
      <c r="Z899" s="30"/>
    </row>
    <row r="900" spans="2:26" ht="13.9" customHeight="1" x14ac:dyDescent="0.25">
      <c r="C900" s="126"/>
      <c r="D900" s="59" t="s">
        <v>101</v>
      </c>
      <c r="E900" s="50" t="s">
        <v>368</v>
      </c>
      <c r="F900" s="120" t="s">
        <v>102</v>
      </c>
      <c r="G900" s="74" t="s">
        <v>351</v>
      </c>
      <c r="H900" s="91" t="s">
        <v>115</v>
      </c>
      <c r="I900" s="52"/>
      <c r="J900" s="32"/>
      <c r="K900" s="28"/>
      <c r="L900" s="29"/>
      <c r="Q900" s="5"/>
      <c r="R900" s="18" t="str">
        <f>IF(M$887&lt;&gt;"Ναι","","PCl5(g)")</f>
        <v/>
      </c>
      <c r="S900" s="16" t="str">
        <f>IF(M$887&lt;&gt;"Ναι","","D")</f>
        <v/>
      </c>
      <c r="T900" s="18" t="str">
        <f>IF(M$887&lt;&gt;"Ναι","","PCl3(g)")</f>
        <v/>
      </c>
      <c r="U900" s="17" t="str">
        <f>IF(M$887&lt;&gt;"Ναι","","+")</f>
        <v/>
      </c>
      <c r="V900" s="18" t="str">
        <f>IF(M$887&lt;&gt;"Ναι","","Cl2(g)")</f>
        <v/>
      </c>
      <c r="W900" s="5"/>
      <c r="Z900" s="30"/>
    </row>
    <row r="901" spans="2:26" ht="13.9" customHeight="1" thickBot="1" x14ac:dyDescent="0.25">
      <c r="I901" s="7"/>
      <c r="J901" s="32"/>
      <c r="K901" s="28"/>
      <c r="L901" s="29"/>
      <c r="Z901" s="30"/>
    </row>
    <row r="902" spans="2:26" ht="13.9" customHeight="1" thickTop="1" thickBot="1" x14ac:dyDescent="0.25">
      <c r="C902" s="66" t="s">
        <v>369</v>
      </c>
      <c r="D902" s="64" t="s">
        <v>373</v>
      </c>
      <c r="E902" s="213" t="s">
        <v>368</v>
      </c>
      <c r="F902" s="65"/>
      <c r="G902" s="214" t="s">
        <v>351</v>
      </c>
      <c r="H902" s="65"/>
      <c r="I902" s="7"/>
      <c r="J902" s="32"/>
      <c r="K902" s="28"/>
      <c r="L902" s="29"/>
      <c r="Q902" s="159" t="str">
        <f>IF(M$887&lt;&gt;"Ναι","","αρχικά")</f>
        <v/>
      </c>
      <c r="R902" s="14" t="str">
        <f>IF(M$887&lt;&gt;"Ναι","","6mol")</f>
        <v/>
      </c>
      <c r="S902" s="289" t="str">
        <f>IF(M$887&lt;&gt;"Ναι","","D")</f>
        <v/>
      </c>
      <c r="T902" s="7"/>
      <c r="U902" s="288" t="str">
        <f>IF(M$887&lt;&gt;"Ναι","","+")</f>
        <v/>
      </c>
      <c r="V902" s="7"/>
      <c r="W902" s="7"/>
      <c r="X902" s="7"/>
      <c r="Z902" s="30"/>
    </row>
    <row r="903" spans="2:26" ht="13.9" customHeight="1" thickTop="1" thickBot="1" x14ac:dyDescent="0.25">
      <c r="C903" s="66" t="s">
        <v>372</v>
      </c>
      <c r="D903" s="64" t="s">
        <v>476</v>
      </c>
      <c r="E903" s="213"/>
      <c r="F903" s="75"/>
      <c r="G903" s="214"/>
      <c r="H903" s="75"/>
      <c r="I903" s="7"/>
      <c r="J903" s="32"/>
      <c r="K903" s="28"/>
      <c r="L903" s="29"/>
      <c r="Q903" s="159" t="str">
        <f>IF(M$887&lt;&gt;"Ναι","","αντέδρασαν")</f>
        <v/>
      </c>
      <c r="R903" s="14" t="str">
        <f>IF(M$887&lt;&gt;"Ναι","","ymol")</f>
        <v/>
      </c>
      <c r="S903" s="289"/>
      <c r="T903" s="7"/>
      <c r="U903" s="288"/>
      <c r="V903" s="7"/>
      <c r="W903" s="7"/>
      <c r="X903" s="7"/>
      <c r="Z903" s="30"/>
    </row>
    <row r="904" spans="2:26" ht="13.9" customHeight="1" thickTop="1" thickBot="1" x14ac:dyDescent="0.25">
      <c r="C904" s="66" t="s">
        <v>370</v>
      </c>
      <c r="D904" s="72"/>
      <c r="E904" s="213"/>
      <c r="F904" s="146"/>
      <c r="G904" s="214"/>
      <c r="H904" s="146"/>
      <c r="I904" s="7"/>
      <c r="J904" s="32"/>
      <c r="K904" s="28"/>
      <c r="L904" s="29"/>
      <c r="Q904" s="159" t="str">
        <f>IF(M$887&lt;&gt;"Ναι","","παράχθηκαν")</f>
        <v/>
      </c>
      <c r="R904" s="10"/>
      <c r="S904" s="289"/>
      <c r="T904" s="23" t="str">
        <f>IF(M$887&lt;&gt;"Ναι","","ymol")</f>
        <v/>
      </c>
      <c r="U904" s="288"/>
      <c r="V904" s="23" t="str">
        <f>IF(M$887&lt;&gt;"Ναι","","ymol")</f>
        <v/>
      </c>
      <c r="W904" s="7"/>
      <c r="X904" s="7"/>
      <c r="Z904" s="30"/>
    </row>
    <row r="905" spans="2:26" ht="15.95" customHeight="1" thickTop="1" thickBot="1" x14ac:dyDescent="0.25">
      <c r="B905" s="62" t="s">
        <v>376</v>
      </c>
      <c r="C905" s="73" t="s">
        <v>371</v>
      </c>
      <c r="D905" s="146"/>
      <c r="E905" s="213"/>
      <c r="F905" s="146"/>
      <c r="G905" s="214"/>
      <c r="H905" s="139" t="s">
        <v>470</v>
      </c>
      <c r="I905" s="356" t="s">
        <v>181</v>
      </c>
      <c r="J905" s="357"/>
      <c r="K905" s="28"/>
      <c r="L905" s="29"/>
      <c r="Q905" s="156" t="str">
        <f>IF(M$887&lt;&gt;"Ναι","","ΚΧΙ")</f>
        <v/>
      </c>
      <c r="R905" s="158" t="str">
        <f>IF(M$887&lt;&gt;"Ναι","","(6-y)mol")</f>
        <v/>
      </c>
      <c r="S905" s="289"/>
      <c r="T905" s="163" t="str">
        <f>IF(M$887&lt;&gt;"Ναι","","ymol")</f>
        <v/>
      </c>
      <c r="U905" s="288"/>
      <c r="V905" s="24" t="str">
        <f>IF(M$887&lt;&gt;"Ναι","","?")</f>
        <v/>
      </c>
      <c r="W905" s="314" t="str">
        <f>IF(M$887&lt;&gt;"Ναι","","PCl3: γ22=2/15")</f>
        <v/>
      </c>
      <c r="X905" s="314"/>
      <c r="Z905" s="30"/>
    </row>
    <row r="906" spans="2:26" ht="13.9" customHeight="1" thickTop="1" x14ac:dyDescent="0.2">
      <c r="B906" s="516" t="str">
        <f>IF(OR(D905="",F904="",F905="",H904=""),"",IF(AND(OR(D905="(6-y)mol",D905="(6–y)mol"),F904="ymol",F905="ymol",H904="ymol"),"G","R"))</f>
        <v/>
      </c>
      <c r="I906" s="7"/>
      <c r="J906" s="32"/>
      <c r="K906" s="28"/>
      <c r="L906" s="29"/>
      <c r="Z906" s="30"/>
    </row>
    <row r="907" spans="2:26" ht="15" customHeight="1" x14ac:dyDescent="0.2">
      <c r="C907" s="359" t="s">
        <v>183</v>
      </c>
      <c r="D907" s="360"/>
      <c r="E907" s="360"/>
      <c r="F907" s="360"/>
      <c r="G907" s="360"/>
      <c r="H907" s="361"/>
      <c r="I907" s="7"/>
      <c r="J907" s="32"/>
      <c r="K907" s="28"/>
      <c r="L907" s="29"/>
      <c r="Q907" s="235" t="str">
        <f>IF(M887&lt;&gt;"Ναι","","Προφανώς η ποσότητα του χλωρίου στην ΚΧΙ, δηλ. αυτή που αντιστοιχεί στο κελί με το ερωτηματικό, θα ισούται με (x+y)mol.")</f>
        <v/>
      </c>
      <c r="R907" s="235"/>
      <c r="S907" s="235"/>
      <c r="T907" s="235"/>
      <c r="U907" s="235"/>
      <c r="V907" s="235"/>
      <c r="W907" s="235"/>
      <c r="X907" s="235"/>
      <c r="Z907" s="30"/>
    </row>
    <row r="908" spans="2:26" ht="15" customHeight="1" x14ac:dyDescent="0.2">
      <c r="C908" s="362"/>
      <c r="D908" s="238"/>
      <c r="E908" s="238"/>
      <c r="F908" s="238"/>
      <c r="G908" s="238"/>
      <c r="H908" s="363"/>
      <c r="I908" s="7"/>
      <c r="J908" s="32"/>
      <c r="K908" s="28"/>
      <c r="L908" s="29"/>
      <c r="Q908" s="235"/>
      <c r="R908" s="235"/>
      <c r="S908" s="235"/>
      <c r="T908" s="235"/>
      <c r="U908" s="235"/>
      <c r="V908" s="235"/>
      <c r="W908" s="235"/>
      <c r="X908" s="235"/>
      <c r="Z908" s="30"/>
    </row>
    <row r="909" spans="2:26" ht="15" customHeight="1" x14ac:dyDescent="0.2">
      <c r="C909" s="362"/>
      <c r="D909" s="238"/>
      <c r="E909" s="238"/>
      <c r="F909" s="238"/>
      <c r="G909" s="238"/>
      <c r="H909" s="363"/>
      <c r="I909" s="7"/>
      <c r="J909" s="32"/>
      <c r="K909" s="28"/>
      <c r="L909" s="29"/>
      <c r="Q909" s="235" t="str">
        <f>IF(M887&lt;&gt;"Ναι","","Από τις τιμές των μοριακών κλασμάτων για το CO και τον PCl3, γίνεται φανερό ότι τα mol του PCl3, που θα υπάρχουν στο δοχείο στην ΚΧΙ, θα είναι διπλάσια των mol του CO, δηλ. θα είναι y=2x.")</f>
        <v/>
      </c>
      <c r="R909" s="235"/>
      <c r="S909" s="235"/>
      <c r="T909" s="235"/>
      <c r="U909" s="235"/>
      <c r="V909" s="235"/>
      <c r="W909" s="235"/>
      <c r="X909" s="235"/>
      <c r="Z909" s="30"/>
    </row>
    <row r="910" spans="2:26" ht="15" customHeight="1" x14ac:dyDescent="0.2">
      <c r="C910" s="362"/>
      <c r="D910" s="238"/>
      <c r="E910" s="238"/>
      <c r="F910" s="238"/>
      <c r="G910" s="238"/>
      <c r="H910" s="363"/>
      <c r="I910" s="7"/>
      <c r="J910" s="32"/>
      <c r="K910" s="28"/>
      <c r="L910" s="29"/>
      <c r="Q910" s="235"/>
      <c r="R910" s="235"/>
      <c r="S910" s="235"/>
      <c r="T910" s="235"/>
      <c r="U910" s="235"/>
      <c r="V910" s="235"/>
      <c r="W910" s="235"/>
      <c r="X910" s="235"/>
      <c r="Z910" s="30"/>
    </row>
    <row r="911" spans="2:26" ht="15" customHeight="1" x14ac:dyDescent="0.2">
      <c r="C911" s="362"/>
      <c r="D911" s="238"/>
      <c r="E911" s="238"/>
      <c r="F911" s="238"/>
      <c r="G911" s="238"/>
      <c r="H911" s="363"/>
      <c r="I911" s="7"/>
      <c r="J911" s="32"/>
      <c r="K911" s="28"/>
      <c r="L911" s="29"/>
      <c r="Q911" s="235"/>
      <c r="R911" s="235"/>
      <c r="S911" s="235"/>
      <c r="T911" s="235"/>
      <c r="U911" s="235"/>
      <c r="V911" s="235"/>
      <c r="W911" s="235"/>
      <c r="X911" s="235"/>
      <c r="Z911" s="30"/>
    </row>
    <row r="912" spans="2:26" ht="15" customHeight="1" x14ac:dyDescent="0.2">
      <c r="C912" s="364"/>
      <c r="D912" s="365"/>
      <c r="E912" s="365"/>
      <c r="F912" s="365"/>
      <c r="G912" s="365"/>
      <c r="H912" s="366"/>
      <c r="I912" s="7"/>
      <c r="J912" s="32"/>
      <c r="K912" s="28"/>
      <c r="L912" s="29"/>
      <c r="Q912" s="235" t="str">
        <f>IF(M887&lt;&gt;"Ναι","","Για τα mol όλων των περιεχομένων στο δοχείο αερίων στην ΚΧΙ, θα ισχύει:
nολ=(6-x)+x+(6-y)+y+(x+y)=12+x+y.")</f>
        <v/>
      </c>
      <c r="R912" s="235"/>
      <c r="S912" s="235"/>
      <c r="T912" s="235"/>
      <c r="U912" s="235"/>
      <c r="V912" s="235"/>
      <c r="W912" s="235"/>
      <c r="X912" s="235"/>
      <c r="Z912" s="30"/>
    </row>
    <row r="913" spans="1:26" ht="13.9" customHeight="1" thickBot="1" x14ac:dyDescent="0.25">
      <c r="I913" s="7"/>
      <c r="J913" s="32"/>
      <c r="K913" s="28"/>
      <c r="L913" s="29"/>
      <c r="Q913" s="235"/>
      <c r="R913" s="235"/>
      <c r="S913" s="235"/>
      <c r="T913" s="235"/>
      <c r="U913" s="235"/>
      <c r="V913" s="235"/>
      <c r="W913" s="235"/>
      <c r="X913" s="235"/>
      <c r="Z913" s="30"/>
    </row>
    <row r="914" spans="1:26" ht="16.149999999999999" customHeight="1" thickTop="1" x14ac:dyDescent="0.2">
      <c r="A914" s="1"/>
      <c r="B914" s="516" t="str">
        <f>IF(H914="","",IF(H914="1mol","G","R"))</f>
        <v/>
      </c>
      <c r="C914" s="221" t="s">
        <v>184</v>
      </c>
      <c r="D914" s="221"/>
      <c r="E914" s="221"/>
      <c r="F914" s="221"/>
      <c r="G914" s="221"/>
      <c r="H914" s="219"/>
      <c r="I914" s="7"/>
      <c r="J914" s="32"/>
      <c r="K914" s="28"/>
      <c r="L914" s="29"/>
      <c r="Q914" s="302" t="str">
        <f>IF(M887&lt;&gt;"Ναι","","Για το μοριακό κλάσμα του CO στην ΚΧΙ, θα έχουμε:
x/nολ=1/15,  άρα  x/(12+x+y)=1/15,  ή  x/(12+x+2x)=1/15,  άρα  15x=12+3x
άρα θα είναι  x=1  και  y=2.")</f>
        <v/>
      </c>
      <c r="R914" s="302"/>
      <c r="S914" s="302"/>
      <c r="T914" s="302"/>
      <c r="U914" s="302"/>
      <c r="V914" s="302"/>
      <c r="W914" s="302"/>
      <c r="X914" s="302"/>
      <c r="Z914" s="30"/>
    </row>
    <row r="915" spans="1:26" ht="16.149999999999999" customHeight="1" thickBot="1" x14ac:dyDescent="0.25">
      <c r="C915" s="222"/>
      <c r="D915" s="222"/>
      <c r="E915" s="222"/>
      <c r="F915" s="222"/>
      <c r="G915" s="222"/>
      <c r="H915" s="220"/>
      <c r="I915" s="7"/>
      <c r="J915" s="32"/>
      <c r="K915" s="28"/>
      <c r="L915" s="29"/>
      <c r="Q915" s="302"/>
      <c r="R915" s="302"/>
      <c r="S915" s="302"/>
      <c r="T915" s="302"/>
      <c r="U915" s="302"/>
      <c r="V915" s="302"/>
      <c r="W915" s="302"/>
      <c r="X915" s="302"/>
      <c r="Z915" s="30"/>
    </row>
    <row r="916" spans="1:26" ht="13.9" customHeight="1" thickTop="1" thickBot="1" x14ac:dyDescent="0.25">
      <c r="I916" s="7"/>
      <c r="J916" s="32"/>
      <c r="K916" s="28"/>
      <c r="L916" s="29"/>
      <c r="Q916" s="302"/>
      <c r="R916" s="302"/>
      <c r="S916" s="302"/>
      <c r="T916" s="302"/>
      <c r="U916" s="302"/>
      <c r="V916" s="302"/>
      <c r="W916" s="302"/>
      <c r="X916" s="302"/>
      <c r="Z916" s="30"/>
    </row>
    <row r="917" spans="1:26" ht="16.149999999999999" customHeight="1" thickTop="1" x14ac:dyDescent="0.2">
      <c r="B917" s="25" t="str">
        <f>IF(H917="","",IF(H917="2mol","G","R"))</f>
        <v/>
      </c>
      <c r="C917" s="221" t="s">
        <v>185</v>
      </c>
      <c r="D917" s="221"/>
      <c r="E917" s="221"/>
      <c r="F917" s="221"/>
      <c r="G917" s="221"/>
      <c r="H917" s="219"/>
      <c r="I917" s="7"/>
      <c r="J917" s="32"/>
      <c r="K917" s="28"/>
      <c r="L917" s="29"/>
      <c r="Q917" s="302"/>
      <c r="R917" s="302"/>
      <c r="S917" s="302"/>
      <c r="T917" s="302"/>
      <c r="U917" s="302"/>
      <c r="V917" s="302"/>
      <c r="W917" s="302"/>
      <c r="X917" s="302"/>
      <c r="Z917" s="30"/>
    </row>
    <row r="918" spans="1:26" ht="16.149999999999999" customHeight="1" thickBot="1" x14ac:dyDescent="0.25">
      <c r="C918" s="222"/>
      <c r="D918" s="222"/>
      <c r="E918" s="222"/>
      <c r="F918" s="222"/>
      <c r="G918" s="222"/>
      <c r="H918" s="220"/>
      <c r="I918" s="7"/>
      <c r="J918" s="32"/>
      <c r="K918" s="28"/>
      <c r="L918" s="29"/>
      <c r="Q918" s="297" t="str">
        <f>IF(M887&lt;&gt;"Ναι","","Επομένως οι ποσότητες των πέντε αερίων στο δοχείο θα είναι:  
nCO=1mol, nPCl3=2mol, nCOCl2=5mol, nPCl5=4mol και nCl2=3mol.")</f>
        <v/>
      </c>
      <c r="R918" s="297"/>
      <c r="S918" s="297"/>
      <c r="T918" s="297"/>
      <c r="U918" s="297"/>
      <c r="V918" s="297"/>
      <c r="W918" s="297"/>
      <c r="X918" s="297"/>
      <c r="Z918" s="30"/>
    </row>
    <row r="919" spans="1:26" ht="13.9" customHeight="1" thickTop="1" thickBot="1" x14ac:dyDescent="0.25">
      <c r="I919" s="7"/>
      <c r="J919" s="32"/>
      <c r="K919" s="28"/>
      <c r="L919" s="29"/>
      <c r="Q919" s="297"/>
      <c r="R919" s="297"/>
      <c r="S919" s="297"/>
      <c r="T919" s="297"/>
      <c r="U919" s="297"/>
      <c r="V919" s="297"/>
      <c r="W919" s="297"/>
      <c r="X919" s="297"/>
      <c r="Z919" s="30"/>
    </row>
    <row r="920" spans="1:26" ht="16.149999999999999" customHeight="1" thickTop="1" x14ac:dyDescent="0.2">
      <c r="B920" s="25" t="str">
        <f>IF(H920="","",IF(H920="3mol","G","R"))</f>
        <v/>
      </c>
      <c r="C920" s="221" t="s">
        <v>186</v>
      </c>
      <c r="D920" s="221"/>
      <c r="E920" s="221"/>
      <c r="F920" s="221"/>
      <c r="G920" s="221"/>
      <c r="H920" s="219"/>
      <c r="I920" s="7"/>
      <c r="J920" s="32"/>
      <c r="K920" s="28"/>
      <c r="L920" s="29"/>
      <c r="Q920" s="297"/>
      <c r="R920" s="297"/>
      <c r="S920" s="297"/>
      <c r="T920" s="297"/>
      <c r="U920" s="297"/>
      <c r="V920" s="297"/>
      <c r="W920" s="297"/>
      <c r="X920" s="297"/>
      <c r="Z920" s="30"/>
    </row>
    <row r="921" spans="1:26" ht="16.149999999999999" customHeight="1" thickBot="1" x14ac:dyDescent="0.25">
      <c r="C921" s="222"/>
      <c r="D921" s="222"/>
      <c r="E921" s="222"/>
      <c r="F921" s="222"/>
      <c r="G921" s="222"/>
      <c r="H921" s="220"/>
      <c r="I921" s="7"/>
      <c r="J921" s="32"/>
      <c r="K921" s="56"/>
      <c r="L921" s="29"/>
      <c r="Q921" s="488" t="str">
        <f>IF(M887&lt;&gt;"Ναι","","Για την 1η ισορροπία θα είναι KC1=(1/3)·(3/3)/(5/3)=0,2M.")</f>
        <v/>
      </c>
      <c r="R921" s="488"/>
      <c r="S921" s="488"/>
      <c r="T921" s="488"/>
      <c r="U921" s="488"/>
      <c r="V921" s="488"/>
      <c r="W921" s="488"/>
      <c r="X921" s="488"/>
      <c r="Z921" s="30"/>
    </row>
    <row r="922" spans="1:26" ht="13.9" customHeight="1" thickTop="1" thickBot="1" x14ac:dyDescent="0.25">
      <c r="I922" s="7"/>
      <c r="J922" s="32"/>
      <c r="K922" s="56"/>
      <c r="L922" s="29"/>
      <c r="Q922" s="488" t="str">
        <f>IF(M887&lt;&gt;"Ναι","","Για τη 2η ισορροπία θα είναι KC2=(2/3)·(3/3)/(4/3)=0,5M.")</f>
        <v/>
      </c>
      <c r="R922" s="488"/>
      <c r="S922" s="488"/>
      <c r="T922" s="488"/>
      <c r="U922" s="488"/>
      <c r="V922" s="488"/>
      <c r="W922" s="488"/>
      <c r="X922" s="488"/>
      <c r="Z922" s="30"/>
    </row>
    <row r="923" spans="1:26" ht="16.149999999999999" customHeight="1" thickTop="1" x14ac:dyDescent="0.2">
      <c r="B923" s="25" t="str">
        <f>IF(H923="","",IF(H923=0.2,"G","R"))</f>
        <v/>
      </c>
      <c r="C923" s="221" t="s">
        <v>187</v>
      </c>
      <c r="D923" s="221"/>
      <c r="E923" s="221"/>
      <c r="F923" s="221"/>
      <c r="G923" s="221"/>
      <c r="H923" s="348"/>
      <c r="I923" s="7"/>
      <c r="J923" s="32"/>
      <c r="K923" s="56"/>
      <c r="L923" s="29"/>
      <c r="Q923" s="488"/>
      <c r="R923" s="488"/>
      <c r="S923" s="488"/>
      <c r="T923" s="488"/>
      <c r="U923" s="488"/>
      <c r="V923" s="488"/>
      <c r="W923" s="488"/>
      <c r="X923" s="488"/>
      <c r="Z923" s="30"/>
    </row>
    <row r="924" spans="1:26" ht="16.149999999999999" customHeight="1" thickBot="1" x14ac:dyDescent="0.25">
      <c r="C924" s="222"/>
      <c r="D924" s="222"/>
      <c r="E924" s="222"/>
      <c r="F924" s="222"/>
      <c r="G924" s="222"/>
      <c r="H924" s="349"/>
      <c r="I924" s="7"/>
      <c r="J924" s="32"/>
      <c r="K924" s="56"/>
      <c r="L924" s="29"/>
      <c r="Z924" s="30"/>
    </row>
    <row r="925" spans="1:26" ht="13.9" customHeight="1" thickTop="1" thickBot="1" x14ac:dyDescent="0.25">
      <c r="I925" s="43"/>
      <c r="J925" s="134"/>
      <c r="K925" s="56"/>
      <c r="L925" s="29"/>
      <c r="O925" s="311">
        <v>55</v>
      </c>
      <c r="Z925" s="30"/>
    </row>
    <row r="926" spans="1:26" ht="16.149999999999999" customHeight="1" thickTop="1" x14ac:dyDescent="0.2">
      <c r="B926" s="25" t="str">
        <f>IF(H926="","",IF(H926=0.5,"G","R"))</f>
        <v/>
      </c>
      <c r="C926" s="221" t="s">
        <v>188</v>
      </c>
      <c r="D926" s="221"/>
      <c r="E926" s="221"/>
      <c r="F926" s="221"/>
      <c r="G926" s="221"/>
      <c r="H926" s="348"/>
      <c r="I926" s="43"/>
      <c r="J926" s="201" t="str">
        <f>IF(K926="","",IF(K926=60,O17,O24))</f>
        <v/>
      </c>
      <c r="K926" s="203" t="str">
        <f>IF(OR(B899="",B906="",B914="",B917="",B920="",B923="",B926="",M887="Ναι"),"",SUM(A929:G929))</f>
        <v/>
      </c>
      <c r="L926" s="29"/>
      <c r="O926" s="311"/>
      <c r="Z926" s="30"/>
    </row>
    <row r="927" spans="1:26" ht="16.149999999999999" customHeight="1" thickBot="1" x14ac:dyDescent="0.25">
      <c r="C927" s="222"/>
      <c r="D927" s="222"/>
      <c r="E927" s="222"/>
      <c r="F927" s="222"/>
      <c r="G927" s="222"/>
      <c r="H927" s="349"/>
      <c r="I927" s="43"/>
      <c r="J927" s="202"/>
      <c r="K927" s="204"/>
      <c r="L927" s="29"/>
      <c r="O927" s="311"/>
      <c r="Z927" s="30"/>
    </row>
    <row r="928" spans="1:26" ht="13.9" customHeight="1" thickTop="1" x14ac:dyDescent="0.2">
      <c r="A928" s="7"/>
      <c r="B928" s="7"/>
      <c r="C928" s="7"/>
      <c r="D928" s="7"/>
      <c r="E928" s="7"/>
      <c r="F928" s="7"/>
      <c r="G928" s="7"/>
      <c r="H928" s="7"/>
      <c r="I928" s="7"/>
      <c r="J928" s="32"/>
      <c r="K928" s="28"/>
      <c r="L928" s="315" t="str">
        <f>IF(AND(K926="",K880="",K836="",K804="",K761="",K733="",K717="",K687="",K674="",K656="",K627="",K615="",K598="",K581=""),"",SUM(K581:K926))</f>
        <v/>
      </c>
      <c r="Z928" s="30"/>
    </row>
    <row r="929" spans="1:26" ht="13.9" customHeight="1" x14ac:dyDescent="0.2">
      <c r="A929" s="140" t="str">
        <f>IF(B899&lt;&gt;"G","",5)</f>
        <v/>
      </c>
      <c r="B929" s="140" t="str">
        <f>IF(B906&lt;&gt;"G","",5)</f>
        <v/>
      </c>
      <c r="C929" s="140" t="str">
        <f>IF(B914&lt;&gt;"G","",15)</f>
        <v/>
      </c>
      <c r="D929" s="140" t="str">
        <f>IF(B917&lt;&gt;"G","",5)</f>
        <v/>
      </c>
      <c r="E929" s="140" t="str">
        <f>IF(B920&lt;&gt;"G","",12)</f>
        <v/>
      </c>
      <c r="F929" s="140" t="str">
        <f>IF(B923&lt;&gt;"G","",10)</f>
        <v/>
      </c>
      <c r="G929" s="140" t="str">
        <f>IF(B926&lt;&gt;"G","",8)</f>
        <v/>
      </c>
      <c r="H929" s="141"/>
      <c r="I929" s="141"/>
      <c r="J929" s="28"/>
      <c r="K929" s="28"/>
      <c r="L929" s="315"/>
      <c r="Z929" s="30"/>
    </row>
    <row r="930" spans="1:26" ht="13.9" customHeight="1" x14ac:dyDescent="0.2">
      <c r="A930" s="142"/>
      <c r="B930" s="142"/>
      <c r="C930" s="142"/>
      <c r="D930" s="142"/>
      <c r="E930" s="142"/>
      <c r="F930" s="142"/>
      <c r="G930" s="142"/>
      <c r="H930" s="142"/>
      <c r="I930" s="143"/>
      <c r="J930" s="56"/>
      <c r="K930" s="28"/>
      <c r="L930" s="29"/>
      <c r="Z930" s="30"/>
    </row>
    <row r="931" spans="1:26" ht="13.9" customHeight="1" thickBot="1" x14ac:dyDescent="0.25">
      <c r="A931" s="28"/>
      <c r="B931" s="28"/>
      <c r="C931" s="28"/>
      <c r="D931" s="28"/>
      <c r="E931" s="28"/>
      <c r="F931" s="28"/>
      <c r="G931" s="28"/>
      <c r="H931" s="28"/>
      <c r="I931" s="28"/>
      <c r="J931" s="28"/>
      <c r="K931" s="28"/>
      <c r="L931" s="29"/>
      <c r="Z931" s="30"/>
    </row>
    <row r="932" spans="1:26" ht="13.9" customHeight="1" x14ac:dyDescent="0.2">
      <c r="A932" s="28"/>
      <c r="B932" s="333" t="str">
        <f>IF(OR(I932="",K926=""),"",IF(I932&gt;1080,"ΟΥΑΟΥ!!!… Σίγουρα έχεις μέσα σου κάτι από …
Le Chatelier!!…",IF(I932&lt;600,"Απ' ότι φαίνεται, η Χημεία της Θετικής κατεύθυνσης σου έπεσε κάπως δυσκολοχώνευτη!…",IF(AND(I932&gt;600,I932&lt;800),"Η επίδοσή σου δείχνει ότι χρειάζεσαι ακόμη πολυυυύ περισσότερο διάβασμα!...","Με λιιιίγο ακόμη διάβασμα θα μπορούσες να επιτύχεις πολύ καλύτερη επίδοση!..."))))</f>
        <v/>
      </c>
      <c r="C932" s="334"/>
      <c r="D932" s="334"/>
      <c r="E932" s="335"/>
      <c r="F932" s="28"/>
      <c r="G932" s="328" t="s">
        <v>477</v>
      </c>
      <c r="H932" s="328"/>
      <c r="I932" s="350" t="str">
        <f>IF(AND(L928="",L556="",L319="",L151=""),"",SUM(L151:L928))</f>
        <v/>
      </c>
      <c r="J932" s="353" t="str">
        <f>IF(I932&lt;&gt;"","στα 1200","")</f>
        <v/>
      </c>
      <c r="K932" s="353"/>
      <c r="L932" s="29"/>
      <c r="O932" s="319">
        <f>SUM(O34:O930)</f>
        <v>1200</v>
      </c>
      <c r="Z932" s="30"/>
    </row>
    <row r="933" spans="1:26" ht="13.9" customHeight="1" x14ac:dyDescent="0.2">
      <c r="A933" s="28"/>
      <c r="B933" s="336"/>
      <c r="C933" s="337"/>
      <c r="D933" s="337"/>
      <c r="E933" s="338"/>
      <c r="F933" s="28"/>
      <c r="G933" s="329"/>
      <c r="H933" s="329"/>
      <c r="I933" s="351"/>
      <c r="J933" s="354"/>
      <c r="K933" s="354"/>
      <c r="L933" s="29"/>
      <c r="O933" s="319"/>
      <c r="Z933" s="30"/>
    </row>
    <row r="934" spans="1:26" ht="13.9" customHeight="1" thickBot="1" x14ac:dyDescent="0.25">
      <c r="A934" s="28"/>
      <c r="B934" s="336"/>
      <c r="C934" s="337"/>
      <c r="D934" s="337"/>
      <c r="E934" s="338"/>
      <c r="F934" s="28"/>
      <c r="G934" s="330"/>
      <c r="H934" s="330"/>
      <c r="I934" s="352"/>
      <c r="J934" s="355"/>
      <c r="K934" s="355"/>
      <c r="L934" s="29"/>
      <c r="O934" s="319"/>
      <c r="Z934" s="30"/>
    </row>
    <row r="935" spans="1:26" ht="13.9" customHeight="1" thickBot="1" x14ac:dyDescent="0.25">
      <c r="A935" s="28"/>
      <c r="B935" s="336"/>
      <c r="C935" s="337"/>
      <c r="D935" s="337"/>
      <c r="E935" s="338"/>
      <c r="F935" s="28"/>
      <c r="G935" s="28"/>
      <c r="H935" s="28"/>
      <c r="I935" s="28"/>
      <c r="J935" s="28"/>
      <c r="K935" s="28"/>
      <c r="L935" s="29"/>
      <c r="Z935" s="30"/>
    </row>
    <row r="936" spans="1:26" ht="13.9" customHeight="1" x14ac:dyDescent="0.2">
      <c r="A936" s="28"/>
      <c r="B936" s="336"/>
      <c r="C936" s="337"/>
      <c r="D936" s="337"/>
      <c r="E936" s="338"/>
      <c r="F936" s="28"/>
      <c r="G936" s="326" t="s">
        <v>478</v>
      </c>
      <c r="H936" s="326"/>
      <c r="I936" s="331" t="str">
        <f>IF(I932="","",(I932/1200))</f>
        <v/>
      </c>
      <c r="J936" s="331"/>
      <c r="K936" s="28"/>
      <c r="L936" s="29"/>
      <c r="Z936" s="30"/>
    </row>
    <row r="937" spans="1:26" ht="13.9" customHeight="1" thickBot="1" x14ac:dyDescent="0.25">
      <c r="A937" s="28"/>
      <c r="B937" s="339"/>
      <c r="C937" s="340"/>
      <c r="D937" s="340"/>
      <c r="E937" s="341"/>
      <c r="F937" s="28"/>
      <c r="G937" s="327"/>
      <c r="H937" s="327"/>
      <c r="I937" s="332"/>
      <c r="J937" s="332"/>
      <c r="K937" s="28"/>
      <c r="L937" s="29"/>
      <c r="Z937" s="30"/>
    </row>
    <row r="938" spans="1:26" ht="13.9" customHeight="1" x14ac:dyDescent="0.2">
      <c r="A938" s="28"/>
      <c r="B938" s="28"/>
      <c r="C938" s="28"/>
      <c r="D938" s="28"/>
      <c r="E938" s="28"/>
      <c r="F938" s="28"/>
      <c r="G938" s="28"/>
      <c r="H938" s="28"/>
      <c r="I938" s="28"/>
      <c r="J938" s="28"/>
      <c r="K938" s="28"/>
      <c r="L938" s="29"/>
      <c r="Z938" s="30"/>
    </row>
    <row r="939" spans="1:26" ht="13.9" customHeight="1" x14ac:dyDescent="0.2">
      <c r="A939" s="142"/>
      <c r="B939" s="142"/>
      <c r="C939" s="142"/>
      <c r="D939" s="142"/>
      <c r="E939" s="142"/>
      <c r="F939" s="142"/>
      <c r="G939" s="142"/>
      <c r="H939" s="142"/>
      <c r="I939" s="142"/>
      <c r="J939" s="143"/>
      <c r="K939" s="28"/>
      <c r="L939" s="29"/>
      <c r="Z939" s="30"/>
    </row>
    <row r="940" spans="1:26" ht="13.9" customHeight="1" x14ac:dyDescent="0.2">
      <c r="A940" s="318" t="s">
        <v>196</v>
      </c>
      <c r="B940" s="318"/>
      <c r="C940" s="318"/>
      <c r="D940" s="318"/>
      <c r="E940" s="318"/>
      <c r="F940" s="318"/>
      <c r="G940" s="318"/>
      <c r="H940" s="318"/>
      <c r="I940" s="318"/>
      <c r="J940" s="318"/>
      <c r="K940" s="28"/>
      <c r="L940" s="29"/>
      <c r="Z940" s="30"/>
    </row>
    <row r="941" spans="1:26" ht="13.9" customHeight="1" x14ac:dyDescent="0.2">
      <c r="A941" s="318"/>
      <c r="B941" s="318"/>
      <c r="C941" s="318"/>
      <c r="D941" s="318"/>
      <c r="E941" s="318"/>
      <c r="F941" s="318"/>
      <c r="G941" s="318"/>
      <c r="H941" s="318"/>
      <c r="I941" s="318"/>
      <c r="J941" s="318"/>
      <c r="K941" s="28"/>
      <c r="L941" s="29"/>
      <c r="Z941" s="30"/>
    </row>
    <row r="942" spans="1:26" ht="13.9" customHeight="1" x14ac:dyDescent="0.2">
      <c r="A942" s="316" t="s">
        <v>267</v>
      </c>
      <c r="B942" s="316"/>
      <c r="C942" s="316"/>
      <c r="D942" s="316"/>
      <c r="E942" s="316"/>
      <c r="F942" s="316"/>
      <c r="G942" s="316"/>
      <c r="H942" s="316"/>
      <c r="I942" s="316"/>
      <c r="J942" s="317"/>
      <c r="K942" s="28"/>
      <c r="L942" s="29"/>
      <c r="Z942" s="30"/>
    </row>
    <row r="943" spans="1:26" ht="13.9" customHeight="1" x14ac:dyDescent="0.2">
      <c r="A943" s="28"/>
      <c r="B943" s="28"/>
      <c r="C943" s="28"/>
      <c r="D943" s="28"/>
      <c r="E943" s="28"/>
      <c r="F943" s="28"/>
      <c r="G943" s="28"/>
      <c r="H943" s="28"/>
      <c r="I943" s="28"/>
      <c r="J943" s="28"/>
      <c r="K943" s="28"/>
      <c r="L943" s="29"/>
      <c r="M943" s="29"/>
      <c r="N943" s="29"/>
      <c r="O943" s="29"/>
      <c r="P943" s="29"/>
      <c r="Q943" s="29"/>
      <c r="R943" s="29"/>
      <c r="S943" s="29"/>
      <c r="T943" s="29"/>
      <c r="U943" s="29"/>
      <c r="V943" s="29"/>
      <c r="W943" s="29"/>
      <c r="X943" s="29"/>
      <c r="Y943" s="29"/>
      <c r="Z943" s="30"/>
    </row>
    <row r="945" spans="1:3" ht="13.9" customHeight="1" x14ac:dyDescent="0.2">
      <c r="A945" s="199" t="s">
        <v>171</v>
      </c>
      <c r="B945" s="199"/>
      <c r="C945" s="199"/>
    </row>
    <row r="946" spans="1:3" ht="13.9" customHeight="1" x14ac:dyDescent="0.2">
      <c r="A946" s="200" t="s">
        <v>172</v>
      </c>
      <c r="B946" s="200"/>
      <c r="C946" s="200"/>
    </row>
  </sheetData>
  <sheetProtection algorithmName="SHA-512" hashValue="MbCt53Tu7GKflfXL/JBn0qa4UFhBCFPaOSKEBdAD3/LT1nBbwOl0Q+LMkBcemdJtCGB0h9K2MCvgxEG9TxN2Uw==" saltValue="LbtJ+jo9XcSCC/MUBUChDQ==" spinCount="100000" sheet="1" objects="1" scenarios="1"/>
  <mergeCells count="801">
    <mergeCell ref="P325:P326"/>
    <mergeCell ref="Q325:S325"/>
    <mergeCell ref="Q326:S326"/>
    <mergeCell ref="P459:P460"/>
    <mergeCell ref="Q459:S459"/>
    <mergeCell ref="P340:X344"/>
    <mergeCell ref="P328:U328"/>
    <mergeCell ref="U325:U326"/>
    <mergeCell ref="Q336:S336"/>
    <mergeCell ref="P334:P336"/>
    <mergeCell ref="U334:U336"/>
    <mergeCell ref="Q334:S335"/>
    <mergeCell ref="U329:U331"/>
    <mergeCell ref="Q329:S330"/>
    <mergeCell ref="T329:T330"/>
    <mergeCell ref="T334:T335"/>
    <mergeCell ref="P333:U333"/>
    <mergeCell ref="Q331:S331"/>
    <mergeCell ref="P329:P331"/>
    <mergeCell ref="Q460:X461"/>
    <mergeCell ref="T293:T294"/>
    <mergeCell ref="P303:X304"/>
    <mergeCell ref="P305:X306"/>
    <mergeCell ref="P295:Q295"/>
    <mergeCell ref="P292:Q292"/>
    <mergeCell ref="P296:Q296"/>
    <mergeCell ref="O295:O296"/>
    <mergeCell ref="P321:X323"/>
    <mergeCell ref="P324:U324"/>
    <mergeCell ref="G3:I3"/>
    <mergeCell ref="J483:J484"/>
    <mergeCell ref="C465:H471"/>
    <mergeCell ref="C473:H475"/>
    <mergeCell ref="H483:H484"/>
    <mergeCell ref="C421:D421"/>
    <mergeCell ref="C431:H433"/>
    <mergeCell ref="H477:H478"/>
    <mergeCell ref="C384:D384"/>
    <mergeCell ref="C347:H347"/>
    <mergeCell ref="H295:H296"/>
    <mergeCell ref="B87:I92"/>
    <mergeCell ref="J109:J110"/>
    <mergeCell ref="D110:G110"/>
    <mergeCell ref="C98:G98"/>
    <mergeCell ref="B17:I18"/>
    <mergeCell ref="D20:G20"/>
    <mergeCell ref="B22:I23"/>
    <mergeCell ref="C31:D32"/>
    <mergeCell ref="F25:F26"/>
    <mergeCell ref="F28:F29"/>
    <mergeCell ref="F31:F32"/>
    <mergeCell ref="C25:D26"/>
    <mergeCell ref="C28:D29"/>
    <mergeCell ref="Q476:X478"/>
    <mergeCell ref="P114:V114"/>
    <mergeCell ref="Q116:R117"/>
    <mergeCell ref="P108:X109"/>
    <mergeCell ref="P110:X111"/>
    <mergeCell ref="P140:X141"/>
    <mergeCell ref="P142:X147"/>
    <mergeCell ref="P120:X130"/>
    <mergeCell ref="P131:X134"/>
    <mergeCell ref="P163:W163"/>
    <mergeCell ref="T183:U184"/>
    <mergeCell ref="P171:X178"/>
    <mergeCell ref="Q164:T165"/>
    <mergeCell ref="P157:W157"/>
    <mergeCell ref="P158:W158"/>
    <mergeCell ref="Q118:R119"/>
    <mergeCell ref="R317:R318"/>
    <mergeCell ref="T317:T318"/>
    <mergeCell ref="P319:Q319"/>
    <mergeCell ref="P320:Q320"/>
    <mergeCell ref="Q227:R228"/>
    <mergeCell ref="S227:S228"/>
    <mergeCell ref="T227:U228"/>
    <mergeCell ref="P255:X259"/>
    <mergeCell ref="S463:S467"/>
    <mergeCell ref="Q464:R464"/>
    <mergeCell ref="Q469:X471"/>
    <mergeCell ref="Q472:X473"/>
    <mergeCell ref="Q69:R70"/>
    <mergeCell ref="U78:W79"/>
    <mergeCell ref="Q81:X84"/>
    <mergeCell ref="T101:T102"/>
    <mergeCell ref="Q474:X475"/>
    <mergeCell ref="Q106:W107"/>
    <mergeCell ref="P254:T254"/>
    <mergeCell ref="Q230:X232"/>
    <mergeCell ref="P265:X269"/>
    <mergeCell ref="P270:X275"/>
    <mergeCell ref="P279:X279"/>
    <mergeCell ref="Q278:V278"/>
    <mergeCell ref="P277:P278"/>
    <mergeCell ref="P309:X313"/>
    <mergeCell ref="Q214:X216"/>
    <mergeCell ref="P214:P215"/>
    <mergeCell ref="T213:U213"/>
    <mergeCell ref="P210:Q210"/>
    <mergeCell ref="P290:X291"/>
    <mergeCell ref="R293:R294"/>
    <mergeCell ref="Q922:X923"/>
    <mergeCell ref="Q844:S844"/>
    <mergeCell ref="Q845:X846"/>
    <mergeCell ref="Q858:X859"/>
    <mergeCell ref="Q860:X861"/>
    <mergeCell ref="Q862:X866"/>
    <mergeCell ref="Q847:X851"/>
    <mergeCell ref="Q852:X853"/>
    <mergeCell ref="Q854:X855"/>
    <mergeCell ref="Q890:X892"/>
    <mergeCell ref="S895:S898"/>
    <mergeCell ref="U895:U898"/>
    <mergeCell ref="W898:X898"/>
    <mergeCell ref="Q856:X857"/>
    <mergeCell ref="Q912:X913"/>
    <mergeCell ref="Q914:X917"/>
    <mergeCell ref="Q918:X920"/>
    <mergeCell ref="Q921:X921"/>
    <mergeCell ref="Q907:X908"/>
    <mergeCell ref="U902:U905"/>
    <mergeCell ref="W905:X905"/>
    <mergeCell ref="Q909:X911"/>
    <mergeCell ref="S902:S905"/>
    <mergeCell ref="M885:N886"/>
    <mergeCell ref="M887:N888"/>
    <mergeCell ref="P887:P888"/>
    <mergeCell ref="M842:N843"/>
    <mergeCell ref="M844:N845"/>
    <mergeCell ref="P844:P845"/>
    <mergeCell ref="P314:X315"/>
    <mergeCell ref="P316:Q316"/>
    <mergeCell ref="P317:Q318"/>
    <mergeCell ref="Q887:S887"/>
    <mergeCell ref="Q888:X889"/>
    <mergeCell ref="O804:O805"/>
    <mergeCell ref="Q816:Q817"/>
    <mergeCell ref="R816:R817"/>
    <mergeCell ref="S816:S817"/>
    <mergeCell ref="T816:T817"/>
    <mergeCell ref="U816:U817"/>
    <mergeCell ref="V816:V817"/>
    <mergeCell ref="W816:X817"/>
    <mergeCell ref="R818:X818"/>
    <mergeCell ref="S819:S822"/>
    <mergeCell ref="C877:G877"/>
    <mergeCell ref="H867:H868"/>
    <mergeCell ref="H870:H871"/>
    <mergeCell ref="C873:G873"/>
    <mergeCell ref="B167:B168"/>
    <mergeCell ref="B185:B186"/>
    <mergeCell ref="B205:B206"/>
    <mergeCell ref="B231:B232"/>
    <mergeCell ref="C842:I842"/>
    <mergeCell ref="E811:E812"/>
    <mergeCell ref="G811:G812"/>
    <mergeCell ref="B816:B817"/>
    <mergeCell ref="C819:H827"/>
    <mergeCell ref="C829:H834"/>
    <mergeCell ref="B309:B310"/>
    <mergeCell ref="C390:F390"/>
    <mergeCell ref="C397:F397"/>
    <mergeCell ref="C396:D396"/>
    <mergeCell ref="C392:H394"/>
    <mergeCell ref="C554:G555"/>
    <mergeCell ref="B559:I560"/>
    <mergeCell ref="H564:I564"/>
    <mergeCell ref="B641:B646"/>
    <mergeCell ref="C576:G578"/>
    <mergeCell ref="H844:I844"/>
    <mergeCell ref="D861:D865"/>
    <mergeCell ref="C867:G868"/>
    <mergeCell ref="C870:G871"/>
    <mergeCell ref="F865:G865"/>
    <mergeCell ref="F861:G861"/>
    <mergeCell ref="F862:G862"/>
    <mergeCell ref="F863:G863"/>
    <mergeCell ref="F864:G864"/>
    <mergeCell ref="C857:H859"/>
    <mergeCell ref="C848:H855"/>
    <mergeCell ref="H846:I846"/>
    <mergeCell ref="F770:F773"/>
    <mergeCell ref="C801:G803"/>
    <mergeCell ref="I790:I791"/>
    <mergeCell ref="K656:K657"/>
    <mergeCell ref="C757:G759"/>
    <mergeCell ref="C712:G712"/>
    <mergeCell ref="E694:E697"/>
    <mergeCell ref="G694:G697"/>
    <mergeCell ref="C699:H700"/>
    <mergeCell ref="D770:D773"/>
    <mergeCell ref="C754:H755"/>
    <mergeCell ref="E741:E744"/>
    <mergeCell ref="G741:G744"/>
    <mergeCell ref="C746:H747"/>
    <mergeCell ref="H733:H734"/>
    <mergeCell ref="C714:G715"/>
    <mergeCell ref="H714:H715"/>
    <mergeCell ref="C717:G718"/>
    <mergeCell ref="H717:H718"/>
    <mergeCell ref="C709:G710"/>
    <mergeCell ref="C672:G672"/>
    <mergeCell ref="C665:H668"/>
    <mergeCell ref="J804:J805"/>
    <mergeCell ref="H801:H803"/>
    <mergeCell ref="C805:G805"/>
    <mergeCell ref="C796:F799"/>
    <mergeCell ref="G796:H797"/>
    <mergeCell ref="G798:H799"/>
    <mergeCell ref="I796:I797"/>
    <mergeCell ref="I798:I799"/>
    <mergeCell ref="F793:H794"/>
    <mergeCell ref="C790:E794"/>
    <mergeCell ref="A811:A812"/>
    <mergeCell ref="A816:A817"/>
    <mergeCell ref="G816:G817"/>
    <mergeCell ref="E816:E817"/>
    <mergeCell ref="D811:D812"/>
    <mergeCell ref="D814:D817"/>
    <mergeCell ref="F811:F812"/>
    <mergeCell ref="F814:F817"/>
    <mergeCell ref="C811:C812"/>
    <mergeCell ref="B811:B812"/>
    <mergeCell ref="C614:G616"/>
    <mergeCell ref="H648:H649"/>
    <mergeCell ref="C681:H684"/>
    <mergeCell ref="C688:G688"/>
    <mergeCell ref="K615:K616"/>
    <mergeCell ref="C702:G704"/>
    <mergeCell ref="F622:F624"/>
    <mergeCell ref="C641:H646"/>
    <mergeCell ref="C670:G670"/>
    <mergeCell ref="C651:G653"/>
    <mergeCell ref="B536:B537"/>
    <mergeCell ref="B532:B533"/>
    <mergeCell ref="B534:B535"/>
    <mergeCell ref="H534:I534"/>
    <mergeCell ref="C423:F423"/>
    <mergeCell ref="B589:B590"/>
    <mergeCell ref="C589:C590"/>
    <mergeCell ref="D589:D590"/>
    <mergeCell ref="F589:F590"/>
    <mergeCell ref="E588:E591"/>
    <mergeCell ref="O435:O436"/>
    <mergeCell ref="O396:O397"/>
    <mergeCell ref="L319:L321"/>
    <mergeCell ref="K317:K318"/>
    <mergeCell ref="J687:J688"/>
    <mergeCell ref="K687:K688"/>
    <mergeCell ref="I694:J694"/>
    <mergeCell ref="O627:O628"/>
    <mergeCell ref="O262:O263"/>
    <mergeCell ref="O361:O362"/>
    <mergeCell ref="O674:O675"/>
    <mergeCell ref="O317:O318"/>
    <mergeCell ref="O615:O616"/>
    <mergeCell ref="O598:O599"/>
    <mergeCell ref="O581:O582"/>
    <mergeCell ref="O554:O555"/>
    <mergeCell ref="N307:N309"/>
    <mergeCell ref="O656:O657"/>
    <mergeCell ref="J581:J582"/>
    <mergeCell ref="J554:J555"/>
    <mergeCell ref="B661:I661"/>
    <mergeCell ref="D622:D624"/>
    <mergeCell ref="H622:H624"/>
    <mergeCell ref="H634:H639"/>
    <mergeCell ref="K176:K177"/>
    <mergeCell ref="J176:J177"/>
    <mergeCell ref="O149:O150"/>
    <mergeCell ref="J119:J120"/>
    <mergeCell ref="K149:K150"/>
    <mergeCell ref="O139:O140"/>
    <mergeCell ref="J149:J150"/>
    <mergeCell ref="L151:L152"/>
    <mergeCell ref="O119:O120"/>
    <mergeCell ref="O129:O130"/>
    <mergeCell ref="K139:K140"/>
    <mergeCell ref="J139:J140"/>
    <mergeCell ref="K129:K130"/>
    <mergeCell ref="K119:K120"/>
    <mergeCell ref="O176:O177"/>
    <mergeCell ref="J99:J100"/>
    <mergeCell ref="D100:G100"/>
    <mergeCell ref="J82:J83"/>
    <mergeCell ref="O109:O110"/>
    <mergeCell ref="O99:O100"/>
    <mergeCell ref="O34:O35"/>
    <mergeCell ref="O49:O50"/>
    <mergeCell ref="O67:O68"/>
    <mergeCell ref="O82:O83"/>
    <mergeCell ref="F79:F80"/>
    <mergeCell ref="K82:K83"/>
    <mergeCell ref="C46:D47"/>
    <mergeCell ref="C49:D50"/>
    <mergeCell ref="C67:D68"/>
    <mergeCell ref="F34:F35"/>
    <mergeCell ref="B54:F54"/>
    <mergeCell ref="B39:F39"/>
    <mergeCell ref="C41:F41"/>
    <mergeCell ref="C34:D35"/>
    <mergeCell ref="C189:H190"/>
    <mergeCell ref="G184:G187"/>
    <mergeCell ref="O17:O18"/>
    <mergeCell ref="O24:O25"/>
    <mergeCell ref="C82:D83"/>
    <mergeCell ref="F76:F77"/>
    <mergeCell ref="F82:F83"/>
    <mergeCell ref="B72:F72"/>
    <mergeCell ref="C74:F74"/>
    <mergeCell ref="C76:D77"/>
    <mergeCell ref="C79:D80"/>
    <mergeCell ref="C61:D62"/>
    <mergeCell ref="F67:F68"/>
    <mergeCell ref="C58:D59"/>
    <mergeCell ref="C56:F56"/>
    <mergeCell ref="F43:F44"/>
    <mergeCell ref="F46:F47"/>
    <mergeCell ref="F49:F50"/>
    <mergeCell ref="C43:D44"/>
    <mergeCell ref="E166:E169"/>
    <mergeCell ref="G166:G169"/>
    <mergeCell ref="C175:G177"/>
    <mergeCell ref="E184:E187"/>
    <mergeCell ref="K99:K100"/>
    <mergeCell ref="H184:H185"/>
    <mergeCell ref="C118:G118"/>
    <mergeCell ref="D140:G140"/>
    <mergeCell ref="D120:G120"/>
    <mergeCell ref="C138:G138"/>
    <mergeCell ref="C148:G148"/>
    <mergeCell ref="D150:G150"/>
    <mergeCell ref="B154:I162"/>
    <mergeCell ref="C171:G171"/>
    <mergeCell ref="C173:G173"/>
    <mergeCell ref="C128:G128"/>
    <mergeCell ref="D130:G130"/>
    <mergeCell ref="H175:H177"/>
    <mergeCell ref="C192:G192"/>
    <mergeCell ref="H220:H222"/>
    <mergeCell ref="K222:K223"/>
    <mergeCell ref="E230:E233"/>
    <mergeCell ref="G230:G233"/>
    <mergeCell ref="J197:J198"/>
    <mergeCell ref="E204:E207"/>
    <mergeCell ref="G204:G207"/>
    <mergeCell ref="C212:H213"/>
    <mergeCell ref="C219:G223"/>
    <mergeCell ref="C215:G215"/>
    <mergeCell ref="C217:G217"/>
    <mergeCell ref="C209:H210"/>
    <mergeCell ref="C242:G242"/>
    <mergeCell ref="C194:G194"/>
    <mergeCell ref="J222:J223"/>
    <mergeCell ref="H244:H245"/>
    <mergeCell ref="C196:G198"/>
    <mergeCell ref="K197:K198"/>
    <mergeCell ref="H196:H198"/>
    <mergeCell ref="O244:O245"/>
    <mergeCell ref="C224:G224"/>
    <mergeCell ref="C240:G240"/>
    <mergeCell ref="O197:O198"/>
    <mergeCell ref="O222:O223"/>
    <mergeCell ref="C244:G245"/>
    <mergeCell ref="K244:K245"/>
    <mergeCell ref="J244:J245"/>
    <mergeCell ref="K295:K296"/>
    <mergeCell ref="J295:J296"/>
    <mergeCell ref="C283:H285"/>
    <mergeCell ref="C339:D339"/>
    <mergeCell ref="C337:G337"/>
    <mergeCell ref="C342:G342"/>
    <mergeCell ref="H331:I331"/>
    <mergeCell ref="C333:H335"/>
    <mergeCell ref="C313:H315"/>
    <mergeCell ref="C292:G293"/>
    <mergeCell ref="H292:H293"/>
    <mergeCell ref="C295:G296"/>
    <mergeCell ref="J317:J318"/>
    <mergeCell ref="B323:I329"/>
    <mergeCell ref="C350:F350"/>
    <mergeCell ref="C355:F355"/>
    <mergeCell ref="C362:F362"/>
    <mergeCell ref="H366:I366"/>
    <mergeCell ref="C368:H370"/>
    <mergeCell ref="K262:K263"/>
    <mergeCell ref="J262:J263"/>
    <mergeCell ref="E278:E281"/>
    <mergeCell ref="G278:G281"/>
    <mergeCell ref="C425:H425"/>
    <mergeCell ref="C428:F428"/>
    <mergeCell ref="C427:D427"/>
    <mergeCell ref="C389:D389"/>
    <mergeCell ref="C407:H408"/>
    <mergeCell ref="C417:F417"/>
    <mergeCell ref="E252:E255"/>
    <mergeCell ref="G252:G255"/>
    <mergeCell ref="E308:E311"/>
    <mergeCell ref="G308:G311"/>
    <mergeCell ref="C257:H258"/>
    <mergeCell ref="C262:G263"/>
    <mergeCell ref="H262:H263"/>
    <mergeCell ref="C260:H260"/>
    <mergeCell ref="C361:D361"/>
    <mergeCell ref="C352:H352"/>
    <mergeCell ref="C357:H359"/>
    <mergeCell ref="C317:G318"/>
    <mergeCell ref="H317:H318"/>
    <mergeCell ref="C340:F340"/>
    <mergeCell ref="C344:D344"/>
    <mergeCell ref="C345:F345"/>
    <mergeCell ref="C354:D354"/>
    <mergeCell ref="C349:D349"/>
    <mergeCell ref="C410:D410"/>
    <mergeCell ref="C372:G372"/>
    <mergeCell ref="C411:F411"/>
    <mergeCell ref="C413:G413"/>
    <mergeCell ref="C382:G382"/>
    <mergeCell ref="C387:H387"/>
    <mergeCell ref="C375:F375"/>
    <mergeCell ref="C377:G377"/>
    <mergeCell ref="C379:D379"/>
    <mergeCell ref="C380:F380"/>
    <mergeCell ref="C385:F385"/>
    <mergeCell ref="C374:D374"/>
    <mergeCell ref="H401:I401"/>
    <mergeCell ref="C403:H405"/>
    <mergeCell ref="K435:K436"/>
    <mergeCell ref="J435:J436"/>
    <mergeCell ref="K483:K484"/>
    <mergeCell ref="C506:G507"/>
    <mergeCell ref="C525:H529"/>
    <mergeCell ref="C509:G510"/>
    <mergeCell ref="H509:H510"/>
    <mergeCell ref="E516:E523"/>
    <mergeCell ref="G516:G523"/>
    <mergeCell ref="K452:K453"/>
    <mergeCell ref="C497:H501"/>
    <mergeCell ref="G457:I457"/>
    <mergeCell ref="H480:H481"/>
    <mergeCell ref="E453:G453"/>
    <mergeCell ref="E459:E463"/>
    <mergeCell ref="B440:I443"/>
    <mergeCell ref="C436:F436"/>
    <mergeCell ref="B448:B450"/>
    <mergeCell ref="G491:G495"/>
    <mergeCell ref="C480:G481"/>
    <mergeCell ref="C483:G484"/>
    <mergeCell ref="C477:G478"/>
    <mergeCell ref="E491:E495"/>
    <mergeCell ref="K509:K510"/>
    <mergeCell ref="O509:O510"/>
    <mergeCell ref="J509:J510"/>
    <mergeCell ref="M459:N460"/>
    <mergeCell ref="G447:G451"/>
    <mergeCell ref="C569:H571"/>
    <mergeCell ref="L556:L557"/>
    <mergeCell ref="O452:O453"/>
    <mergeCell ref="M488:N490"/>
    <mergeCell ref="M513:N515"/>
    <mergeCell ref="M491:N492"/>
    <mergeCell ref="E447:E451"/>
    <mergeCell ref="C503:G504"/>
    <mergeCell ref="C565:C566"/>
    <mergeCell ref="H566:I566"/>
    <mergeCell ref="H567:I567"/>
    <mergeCell ref="B460:D460"/>
    <mergeCell ref="B492:D492"/>
    <mergeCell ref="C552:G552"/>
    <mergeCell ref="F564:F567"/>
    <mergeCell ref="H565:I565"/>
    <mergeCell ref="B546:I547"/>
    <mergeCell ref="E544:F544"/>
    <mergeCell ref="B539:B540"/>
    <mergeCell ref="O880:O881"/>
    <mergeCell ref="K627:K628"/>
    <mergeCell ref="I905:J905"/>
    <mergeCell ref="H914:H915"/>
    <mergeCell ref="C917:G918"/>
    <mergeCell ref="H917:H918"/>
    <mergeCell ref="C926:G927"/>
    <mergeCell ref="H926:H927"/>
    <mergeCell ref="H920:H921"/>
    <mergeCell ref="C907:H912"/>
    <mergeCell ref="C879:G879"/>
    <mergeCell ref="C875:G875"/>
    <mergeCell ref="C782:H784"/>
    <mergeCell ref="F792:H792"/>
    <mergeCell ref="F790:H791"/>
    <mergeCell ref="H816:I817"/>
    <mergeCell ref="C814:C817"/>
    <mergeCell ref="C813:I813"/>
    <mergeCell ref="E902:E905"/>
    <mergeCell ref="G902:G905"/>
    <mergeCell ref="C885:I891"/>
    <mergeCell ref="O836:O837"/>
    <mergeCell ref="I744:J744"/>
    <mergeCell ref="O717:O718"/>
    <mergeCell ref="A1:I2"/>
    <mergeCell ref="J49:J50"/>
    <mergeCell ref="J67:J68"/>
    <mergeCell ref="J129:J130"/>
    <mergeCell ref="C108:G108"/>
    <mergeCell ref="C64:D65"/>
    <mergeCell ref="C920:G921"/>
    <mergeCell ref="H923:H924"/>
    <mergeCell ref="G895:G898"/>
    <mergeCell ref="I230:J230"/>
    <mergeCell ref="I233:J233"/>
    <mergeCell ref="I898:J898"/>
    <mergeCell ref="E895:E898"/>
    <mergeCell ref="H770:H773"/>
    <mergeCell ref="F58:F59"/>
    <mergeCell ref="C573:G574"/>
    <mergeCell ref="C580:G582"/>
    <mergeCell ref="C435:D435"/>
    <mergeCell ref="H576:H578"/>
    <mergeCell ref="C415:D415"/>
    <mergeCell ref="C416:F416"/>
    <mergeCell ref="C422:F422"/>
    <mergeCell ref="C419:G419"/>
    <mergeCell ref="C429:F429"/>
    <mergeCell ref="L928:L929"/>
    <mergeCell ref="A942:J942"/>
    <mergeCell ref="A940:J941"/>
    <mergeCell ref="O932:O934"/>
    <mergeCell ref="C786:G788"/>
    <mergeCell ref="I793:I794"/>
    <mergeCell ref="H811:I812"/>
    <mergeCell ref="C881:G881"/>
    <mergeCell ref="J880:J881"/>
    <mergeCell ref="K880:K881"/>
    <mergeCell ref="K804:K805"/>
    <mergeCell ref="K836:K837"/>
    <mergeCell ref="C836:G837"/>
    <mergeCell ref="H836:H837"/>
    <mergeCell ref="J836:J837"/>
    <mergeCell ref="G936:H937"/>
    <mergeCell ref="G932:H934"/>
    <mergeCell ref="I936:J937"/>
    <mergeCell ref="B932:E937"/>
    <mergeCell ref="C914:G915"/>
    <mergeCell ref="C923:G924"/>
    <mergeCell ref="I932:I934"/>
    <mergeCell ref="J932:K934"/>
    <mergeCell ref="O925:O927"/>
    <mergeCell ref="P811:P812"/>
    <mergeCell ref="Q837:X837"/>
    <mergeCell ref="A546:A547"/>
    <mergeCell ref="O761:O762"/>
    <mergeCell ref="W697:X697"/>
    <mergeCell ref="W698:W699"/>
    <mergeCell ref="W700:X700"/>
    <mergeCell ref="M692:N693"/>
    <mergeCell ref="M694:N695"/>
    <mergeCell ref="K674:K675"/>
    <mergeCell ref="K554:K555"/>
    <mergeCell ref="O687:O688"/>
    <mergeCell ref="C686:G686"/>
    <mergeCell ref="C648:G649"/>
    <mergeCell ref="C549:G550"/>
    <mergeCell ref="B606:B607"/>
    <mergeCell ref="F606:F607"/>
    <mergeCell ref="H606:H607"/>
    <mergeCell ref="K717:K718"/>
    <mergeCell ref="J674:J675"/>
    <mergeCell ref="G605:G608"/>
    <mergeCell ref="C606:C607"/>
    <mergeCell ref="D606:D607"/>
    <mergeCell ref="E605:E608"/>
    <mergeCell ref="S697:S700"/>
    <mergeCell ref="U697:U700"/>
    <mergeCell ref="Q839:X839"/>
    <mergeCell ref="M516:N517"/>
    <mergeCell ref="P516:P517"/>
    <mergeCell ref="Q516:S516"/>
    <mergeCell ref="Q517:X518"/>
    <mergeCell ref="Q519:X520"/>
    <mergeCell ref="Q834:X834"/>
    <mergeCell ref="S778:S781"/>
    <mergeCell ref="U778:U781"/>
    <mergeCell ref="W778:W781"/>
    <mergeCell ref="Q829:X829"/>
    <mergeCell ref="P768:P769"/>
    <mergeCell ref="Q768:S768"/>
    <mergeCell ref="Q769:X771"/>
    <mergeCell ref="O733:O734"/>
    <mergeCell ref="R819:R822"/>
    <mergeCell ref="U819:U822"/>
    <mergeCell ref="Q786:X788"/>
    <mergeCell ref="M809:N810"/>
    <mergeCell ref="M811:N812"/>
    <mergeCell ref="Q830:X830"/>
    <mergeCell ref="Q831:X831"/>
    <mergeCell ref="Q709:X711"/>
    <mergeCell ref="Q712:X713"/>
    <mergeCell ref="Q714:X716"/>
    <mergeCell ref="Q717:X717"/>
    <mergeCell ref="Q704:X704"/>
    <mergeCell ref="Q702:X703"/>
    <mergeCell ref="Q705:X706"/>
    <mergeCell ref="Q707:X708"/>
    <mergeCell ref="Q783:X785"/>
    <mergeCell ref="Q772:X774"/>
    <mergeCell ref="Q775:X775"/>
    <mergeCell ref="Q789:X791"/>
    <mergeCell ref="Q836:X836"/>
    <mergeCell ref="P694:P695"/>
    <mergeCell ref="Q694:S694"/>
    <mergeCell ref="Q695:X695"/>
    <mergeCell ref="Q811:S811"/>
    <mergeCell ref="P92:X99"/>
    <mergeCell ref="P100:V100"/>
    <mergeCell ref="P103:X105"/>
    <mergeCell ref="T540:T548"/>
    <mergeCell ref="V540:V548"/>
    <mergeCell ref="Q537:X537"/>
    <mergeCell ref="Q550:X550"/>
    <mergeCell ref="Q551:X552"/>
    <mergeCell ref="R545:R546"/>
    <mergeCell ref="W545:W546"/>
    <mergeCell ref="P491:P492"/>
    <mergeCell ref="Q491:S491"/>
    <mergeCell ref="Q492:X494"/>
    <mergeCell ref="Q506:X507"/>
    <mergeCell ref="Q508:X510"/>
    <mergeCell ref="Q511:X512"/>
    <mergeCell ref="Q495:X497"/>
    <mergeCell ref="Q498:X499"/>
    <mergeCell ref="Q833:X833"/>
    <mergeCell ref="V501:V505"/>
    <mergeCell ref="R502:S502"/>
    <mergeCell ref="Q534:X536"/>
    <mergeCell ref="Q479:X481"/>
    <mergeCell ref="U462:W462"/>
    <mergeCell ref="U164:U165"/>
    <mergeCell ref="V164:W165"/>
    <mergeCell ref="P166:X170"/>
    <mergeCell ref="Q835:X835"/>
    <mergeCell ref="Q812:X814"/>
    <mergeCell ref="Q823:X825"/>
    <mergeCell ref="Q826:X828"/>
    <mergeCell ref="Q821:Q822"/>
    <mergeCell ref="T821:T822"/>
    <mergeCell ref="V821:V822"/>
    <mergeCell ref="W821:X822"/>
    <mergeCell ref="Q718:X720"/>
    <mergeCell ref="Q521:X521"/>
    <mergeCell ref="Q526:X528"/>
    <mergeCell ref="Q529:X530"/>
    <mergeCell ref="Q522:T523"/>
    <mergeCell ref="Q524:T525"/>
    <mergeCell ref="U523:X524"/>
    <mergeCell ref="Q531:X533"/>
    <mergeCell ref="U44:U45"/>
    <mergeCell ref="Q136:R137"/>
    <mergeCell ref="Q138:R139"/>
    <mergeCell ref="S136:S139"/>
    <mergeCell ref="T137:T138"/>
    <mergeCell ref="Q57:X58"/>
    <mergeCell ref="Q59:X63"/>
    <mergeCell ref="Q64:X66"/>
    <mergeCell ref="Q67:X68"/>
    <mergeCell ref="Q85:X87"/>
    <mergeCell ref="P89:X91"/>
    <mergeCell ref="P46:X49"/>
    <mergeCell ref="Q50:X53"/>
    <mergeCell ref="Q54:X56"/>
    <mergeCell ref="Q101:S102"/>
    <mergeCell ref="Q112:W113"/>
    <mergeCell ref="U137:V138"/>
    <mergeCell ref="P148:X154"/>
    <mergeCell ref="R155:R156"/>
    <mergeCell ref="S155:S156"/>
    <mergeCell ref="T155:U156"/>
    <mergeCell ref="Q160:R161"/>
    <mergeCell ref="S160:S161"/>
    <mergeCell ref="T159:V160"/>
    <mergeCell ref="T161:V162"/>
    <mergeCell ref="P15:T16"/>
    <mergeCell ref="P23:X26"/>
    <mergeCell ref="P32:X35"/>
    <mergeCell ref="P41:X43"/>
    <mergeCell ref="P21:P22"/>
    <mergeCell ref="Q21:Q22"/>
    <mergeCell ref="R21:R22"/>
    <mergeCell ref="T21:T22"/>
    <mergeCell ref="S21:S22"/>
    <mergeCell ref="P17:X20"/>
    <mergeCell ref="V44:V45"/>
    <mergeCell ref="W44:W45"/>
    <mergeCell ref="Q44:Q45"/>
    <mergeCell ref="R44:R45"/>
    <mergeCell ref="S44:S45"/>
    <mergeCell ref="T44:T45"/>
    <mergeCell ref="B5:I15"/>
    <mergeCell ref="M456:N458"/>
    <mergeCell ref="C287:I290"/>
    <mergeCell ref="P308:X308"/>
    <mergeCell ref="P282:X286"/>
    <mergeCell ref="P293:Q294"/>
    <mergeCell ref="P298:X301"/>
    <mergeCell ref="P288:X288"/>
    <mergeCell ref="P260:X261"/>
    <mergeCell ref="P276:X276"/>
    <mergeCell ref="P239:X243"/>
    <mergeCell ref="V244:V246"/>
    <mergeCell ref="P230:P232"/>
    <mergeCell ref="P233:X233"/>
    <mergeCell ref="P248:X252"/>
    <mergeCell ref="Q277:V277"/>
    <mergeCell ref="P262:X264"/>
    <mergeCell ref="K34:K35"/>
    <mergeCell ref="K49:K50"/>
    <mergeCell ref="K67:K68"/>
    <mergeCell ref="K361:K362"/>
    <mergeCell ref="J361:J362"/>
    <mergeCell ref="J34:J35"/>
    <mergeCell ref="P289:X289"/>
    <mergeCell ref="G588:G591"/>
    <mergeCell ref="H589:H590"/>
    <mergeCell ref="P213:Q213"/>
    <mergeCell ref="P187:X188"/>
    <mergeCell ref="R189:U190"/>
    <mergeCell ref="P191:X191"/>
    <mergeCell ref="Q180:R181"/>
    <mergeCell ref="S180:S181"/>
    <mergeCell ref="T180:U181"/>
    <mergeCell ref="P182:W182"/>
    <mergeCell ref="Q183:R184"/>
    <mergeCell ref="S183:S184"/>
    <mergeCell ref="P192:X196"/>
    <mergeCell ref="P198:X198"/>
    <mergeCell ref="U211:V211"/>
    <mergeCell ref="P205:X205"/>
    <mergeCell ref="P208:Q208"/>
    <mergeCell ref="T212:U212"/>
    <mergeCell ref="R206:U207"/>
    <mergeCell ref="P209:Q209"/>
    <mergeCell ref="P211:Q211"/>
    <mergeCell ref="P212:Q212"/>
    <mergeCell ref="K581:K582"/>
    <mergeCell ref="T501:T505"/>
    <mergeCell ref="K733:K734"/>
    <mergeCell ref="J733:J734"/>
    <mergeCell ref="Q224:X226"/>
    <mergeCell ref="Q217:X218"/>
    <mergeCell ref="F61:F62"/>
    <mergeCell ref="F64:F65"/>
    <mergeCell ref="C729:H731"/>
    <mergeCell ref="C733:G734"/>
    <mergeCell ref="C674:G675"/>
    <mergeCell ref="H674:H675"/>
    <mergeCell ref="J396:J397"/>
    <mergeCell ref="K396:K397"/>
    <mergeCell ref="J452:J453"/>
    <mergeCell ref="J717:J718"/>
    <mergeCell ref="I724:I726"/>
    <mergeCell ref="I727:J727"/>
    <mergeCell ref="J615:J616"/>
    <mergeCell ref="K109:K110"/>
    <mergeCell ref="C235:I238"/>
    <mergeCell ref="H573:H574"/>
    <mergeCell ref="C597:G599"/>
    <mergeCell ref="K598:K599"/>
    <mergeCell ref="J598:J599"/>
    <mergeCell ref="C593:G595"/>
    <mergeCell ref="M768:N769"/>
    <mergeCell ref="C761:G762"/>
    <mergeCell ref="H761:H762"/>
    <mergeCell ref="B766:I766"/>
    <mergeCell ref="J761:J762"/>
    <mergeCell ref="K761:K762"/>
    <mergeCell ref="C749:G750"/>
    <mergeCell ref="H749:H750"/>
    <mergeCell ref="C752:G752"/>
    <mergeCell ref="M766:N767"/>
    <mergeCell ref="A945:C945"/>
    <mergeCell ref="A946:C946"/>
    <mergeCell ref="J926:J927"/>
    <mergeCell ref="K926:K927"/>
    <mergeCell ref="I697:J697"/>
    <mergeCell ref="J627:J628"/>
    <mergeCell ref="I695:I696"/>
    <mergeCell ref="H538:I538"/>
    <mergeCell ref="H503:H504"/>
    <mergeCell ref="J656:J657"/>
    <mergeCell ref="H554:H555"/>
    <mergeCell ref="C610:G612"/>
    <mergeCell ref="E724:E727"/>
    <mergeCell ref="G724:G727"/>
    <mergeCell ref="H651:H653"/>
    <mergeCell ref="H709:H710"/>
    <mergeCell ref="C626:G628"/>
    <mergeCell ref="H656:H657"/>
    <mergeCell ref="C656:G657"/>
    <mergeCell ref="C706:G707"/>
    <mergeCell ref="H706:H707"/>
    <mergeCell ref="D634:D639"/>
    <mergeCell ref="F634:F639"/>
    <mergeCell ref="C775:H780"/>
  </mergeCells>
  <phoneticPr fontId="0" type="noConversion"/>
  <hyperlinks>
    <hyperlink ref="A946:C946" location="'Test στη χημική ισορροπία'!A1" display="… στην αρχή της σελίδας."/>
  </hyperlinks>
  <pageMargins left="0.75" right="0.75" top="1" bottom="1" header="0.5" footer="0.5"/>
  <pageSetup paperSize="9" orientation="portrait" horizontalDpi="1200" verticalDpi="1200" r:id="rId1"/>
  <headerFooter alignWithMargins="0"/>
  <ignoredErrors>
    <ignoredError sqref="H248" formula="1"/>
  </ignoredErrors>
  <drawing r:id="rId2"/>
  <legacyDrawing r:id="rId3"/>
  <oleObjects>
    <mc:AlternateContent xmlns:mc="http://schemas.openxmlformats.org/markup-compatibility/2006">
      <mc:Choice Requires="x14">
        <oleObject progId="Ζωγραφική. Εικόνα" shapeId="1060" r:id="rId4">
          <objectPr defaultSize="0" r:id="rId5">
            <anchor moveWithCells="1">
              <from>
                <xdr:col>3</xdr:col>
                <xdr:colOff>19050</xdr:colOff>
                <xdr:row>302</xdr:row>
                <xdr:rowOff>0</xdr:rowOff>
              </from>
              <to>
                <xdr:col>7</xdr:col>
                <xdr:colOff>476250</xdr:colOff>
                <xdr:row>306</xdr:row>
                <xdr:rowOff>19050</xdr:rowOff>
              </to>
            </anchor>
          </objectPr>
        </oleObject>
      </mc:Choice>
      <mc:Fallback>
        <oleObject progId="Ζωγραφική. Εικόνα" shapeId="1060" r:id="rId4"/>
      </mc:Fallback>
    </mc:AlternateContent>
    <mc:AlternateContent xmlns:mc="http://schemas.openxmlformats.org/markup-compatibility/2006">
      <mc:Choice Requires="x14">
        <oleObject progId="Ζωγραφική. Εικόνα" shapeId="1067" r:id="rId6">
          <objectPr defaultSize="0" autoPict="0" r:id="rId7">
            <anchor moveWithCells="1">
              <from>
                <xdr:col>2</xdr:col>
                <xdr:colOff>390525</xdr:colOff>
                <xdr:row>267</xdr:row>
                <xdr:rowOff>66675</xdr:rowOff>
              </from>
              <to>
                <xdr:col>8</xdr:col>
                <xdr:colOff>95250</xdr:colOff>
                <xdr:row>275</xdr:row>
                <xdr:rowOff>66675</xdr:rowOff>
              </to>
            </anchor>
          </objectPr>
        </oleObject>
      </mc:Choice>
      <mc:Fallback>
        <oleObject progId="Ζωγραφική. Εικόνα" shapeId="1067" r:id="rId6"/>
      </mc:Fallback>
    </mc:AlternateContent>
    <mc:AlternateContent xmlns:mc="http://schemas.openxmlformats.org/markup-compatibility/2006">
      <mc:Choice Requires="x14">
        <oleObject progId="Equation.3" shapeId="1414" r:id="rId8">
          <objectPr defaultSize="0" autoPict="0" r:id="rId9">
            <anchor moveWithCells="1" sizeWithCells="1">
              <from>
                <xdr:col>17</xdr:col>
                <xdr:colOff>200025</xdr:colOff>
                <xdr:row>198</xdr:row>
                <xdr:rowOff>133350</xdr:rowOff>
              </from>
              <to>
                <xdr:col>21</xdr:col>
                <xdr:colOff>190500</xdr:colOff>
                <xdr:row>203</xdr:row>
                <xdr:rowOff>57150</xdr:rowOff>
              </to>
            </anchor>
          </objectPr>
        </oleObject>
      </mc:Choice>
      <mc:Fallback>
        <oleObject progId="Equation.3" shapeId="1414" r:id="rId8"/>
      </mc:Fallback>
    </mc:AlternateContent>
    <mc:AlternateContent xmlns:mc="http://schemas.openxmlformats.org/markup-compatibility/2006">
      <mc:Choice Requires="x14">
        <oleObject progId="Equation.3" shapeId="1416" r:id="rId10">
          <objectPr defaultSize="0" autoPict="0" r:id="rId11">
            <anchor moveWithCells="1" sizeWithCells="1">
              <from>
                <xdr:col>16</xdr:col>
                <xdr:colOff>400050</xdr:colOff>
                <xdr:row>218</xdr:row>
                <xdr:rowOff>104775</xdr:rowOff>
              </from>
              <to>
                <xdr:col>22</xdr:col>
                <xdr:colOff>209550</xdr:colOff>
                <xdr:row>222</xdr:row>
                <xdr:rowOff>180975</xdr:rowOff>
              </to>
            </anchor>
          </objectPr>
        </oleObject>
      </mc:Choice>
      <mc:Fallback>
        <oleObject progId="Equation.3" shapeId="1416" r:id="rId10"/>
      </mc:Fallback>
    </mc:AlternateContent>
    <mc:AlternateContent xmlns:mc="http://schemas.openxmlformats.org/markup-compatibility/2006">
      <mc:Choice Requires="x14">
        <oleObject progId="Equation.3" shapeId="1422" r:id="rId12">
          <objectPr defaultSize="0" autoPict="0" r:id="rId13">
            <anchor moveWithCells="1" sizeWithCells="1">
              <from>
                <xdr:col>16</xdr:col>
                <xdr:colOff>409575</xdr:colOff>
                <xdr:row>233</xdr:row>
                <xdr:rowOff>95250</xdr:rowOff>
              </from>
              <to>
                <xdr:col>21</xdr:col>
                <xdr:colOff>209550</xdr:colOff>
                <xdr:row>237</xdr:row>
                <xdr:rowOff>152400</xdr:rowOff>
              </to>
            </anchor>
          </objectPr>
        </oleObject>
      </mc:Choice>
      <mc:Fallback>
        <oleObject progId="Equation.3" shapeId="1422" r:id="rId12"/>
      </mc:Fallback>
    </mc:AlternateContent>
    <mc:AlternateContent xmlns:mc="http://schemas.openxmlformats.org/markup-compatibility/2006">
      <mc:Choice Requires="x14">
        <oleObject progId="Equation.3" shapeId="1423" r:id="rId14">
          <objectPr defaultSize="0" autoPict="0" r:id="rId15">
            <anchor moveWithCells="1" sizeWithCells="1">
              <from>
                <xdr:col>16</xdr:col>
                <xdr:colOff>133350</xdr:colOff>
                <xdr:row>243</xdr:row>
                <xdr:rowOff>57150</xdr:rowOff>
              </from>
              <to>
                <xdr:col>20</xdr:col>
                <xdr:colOff>457200</xdr:colOff>
                <xdr:row>245</xdr:row>
                <xdr:rowOff>85725</xdr:rowOff>
              </to>
            </anchor>
          </objectPr>
        </oleObject>
      </mc:Choice>
      <mc:Fallback>
        <oleObject progId="Equation.3" shapeId="1423" r:id="rId14"/>
      </mc:Fallback>
    </mc:AlternateContent>
    <mc:AlternateContent xmlns:mc="http://schemas.openxmlformats.org/markup-compatibility/2006">
      <mc:Choice Requires="x14">
        <oleObject progId="PBrush" shapeId="1510" r:id="rId16">
          <objectPr defaultSize="0" r:id="rId17">
            <anchor moveWithCells="1" sizeWithCells="1">
              <from>
                <xdr:col>9</xdr:col>
                <xdr:colOff>333375</xdr:colOff>
                <xdr:row>92</xdr:row>
                <xdr:rowOff>9525</xdr:rowOff>
              </from>
              <to>
                <xdr:col>10</xdr:col>
                <xdr:colOff>247650</xdr:colOff>
                <xdr:row>97</xdr:row>
                <xdr:rowOff>95250</xdr:rowOff>
              </to>
            </anchor>
          </objectPr>
        </oleObject>
      </mc:Choice>
      <mc:Fallback>
        <oleObject progId="PBrush" shapeId="1510" r:id="rId16"/>
      </mc:Fallback>
    </mc:AlternateContent>
    <mc:AlternateContent xmlns:mc="http://schemas.openxmlformats.org/markup-compatibility/2006">
      <mc:Choice Requires="x14">
        <oleObject progId="PBrush" shapeId="1508" r:id="rId18">
          <objectPr defaultSize="0" autoPict="0" r:id="rId19">
            <anchor moveWithCells="1" sizeWithCells="1">
              <from>
                <xdr:col>12</xdr:col>
                <xdr:colOff>57150</xdr:colOff>
                <xdr:row>448</xdr:row>
                <xdr:rowOff>95250</xdr:rowOff>
              </from>
              <to>
                <xdr:col>13</xdr:col>
                <xdr:colOff>95250</xdr:colOff>
                <xdr:row>453</xdr:row>
                <xdr:rowOff>104775</xdr:rowOff>
              </to>
            </anchor>
          </objectPr>
        </oleObject>
      </mc:Choice>
      <mc:Fallback>
        <oleObject progId="PBrush" shapeId="1508" r:id="rId1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Test στη χημική ισορροπία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optiplex</cp:lastModifiedBy>
  <dcterms:created xsi:type="dcterms:W3CDTF">1997-01-24T12:53:32Z</dcterms:created>
  <dcterms:modified xsi:type="dcterms:W3CDTF">2025-05-20T21:49:58Z</dcterms:modified>
</cp:coreProperties>
</file>